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-i3-3\Documents\Budget 2017\"/>
    </mc:Choice>
  </mc:AlternateContent>
  <bookViews>
    <workbookView xWindow="0" yWindow="0" windowWidth="28800" windowHeight="12030" tabRatio="732" activeTab="16"/>
  </bookViews>
  <sheets>
    <sheet name="Summary" sheetId="1" r:id="rId1"/>
    <sheet name="SW005" sheetId="2" r:id="rId2"/>
    <sheet name="SE015" sheetId="3" r:id="rId3"/>
    <sheet name="SE020" sheetId="4" r:id="rId4"/>
    <sheet name="SE030" sheetId="5" r:id="rId5"/>
    <sheet name="SE035" sheetId="6" r:id="rId6"/>
    <sheet name="SW045" sheetId="7" r:id="rId7"/>
    <sheet name="NE055" sheetId="8" r:id="rId8"/>
    <sheet name="SE060" sheetId="9" r:id="rId9"/>
    <sheet name="LV070" sheetId="10" r:id="rId10"/>
    <sheet name="NE075" sheetId="11" r:id="rId11"/>
    <sheet name="SE080" sheetId="12" r:id="rId12"/>
    <sheet name="SE090" sheetId="13" r:id="rId13"/>
    <sheet name="SW095" sheetId="14" r:id="rId14"/>
    <sheet name="SA100" sheetId="15" r:id="rId15"/>
    <sheet name="SW110" sheetId="16" r:id="rId16"/>
    <sheet name="NC125" sheetId="17" r:id="rId17"/>
    <sheet name="NT130" sheetId="18" r:id="rId18"/>
    <sheet name="NE135" sheetId="19" r:id="rId19"/>
    <sheet name="NW145" sheetId="20" r:id="rId20"/>
    <sheet name="SW165" sheetId="21" r:id="rId21"/>
    <sheet name="NW170" sheetId="22" r:id="rId22"/>
    <sheet name="CE175" sheetId="23" r:id="rId23"/>
    <sheet name="SC180" sheetId="24" r:id="rId24"/>
  </sheets>
  <definedNames>
    <definedName name="Index">#REF!</definedName>
    <definedName name="Option1">#REF!</definedName>
    <definedName name="Option2">#REF!</definedName>
    <definedName name="Option3">#REF!</definedName>
    <definedName name="Option4">#REF!</definedName>
    <definedName name="_xlnm.Print_Area" localSheetId="22">'CE175'!#REF!</definedName>
    <definedName name="_xlnm.Print_Area" localSheetId="9">'LV070'!#REF!</definedName>
    <definedName name="_xlnm.Print_Area" localSheetId="16">'NC125'!#REF!</definedName>
    <definedName name="_xlnm.Print_Area" localSheetId="7">'NE055'!#REF!</definedName>
    <definedName name="_xlnm.Print_Area" localSheetId="10">'NE075'!#REF!</definedName>
    <definedName name="_xlnm.Print_Area" localSheetId="18">'NE135'!#REF!</definedName>
    <definedName name="_xlnm.Print_Area" localSheetId="17">'NT130'!#REF!</definedName>
    <definedName name="_xlnm.Print_Area" localSheetId="19">'NW145'!#REF!</definedName>
    <definedName name="_xlnm.Print_Area" localSheetId="21">'NW170'!#REF!</definedName>
    <definedName name="_xlnm.Print_Area" localSheetId="14">'SA100'!#REF!</definedName>
    <definedName name="_xlnm.Print_Area" localSheetId="23">'SC180'!#REF!</definedName>
    <definedName name="_xlnm.Print_Area" localSheetId="2">'SE015'!#REF!</definedName>
    <definedName name="_xlnm.Print_Area" localSheetId="3">'SE020'!#REF!</definedName>
    <definedName name="_xlnm.Print_Area" localSheetId="4">'SE030'!#REF!</definedName>
    <definedName name="_xlnm.Print_Area" localSheetId="5">'SE035'!#REF!</definedName>
    <definedName name="_xlnm.Print_Area" localSheetId="8">'SE060'!#REF!</definedName>
    <definedName name="_xlnm.Print_Area" localSheetId="11">'SE080'!#REF!</definedName>
    <definedName name="_xlnm.Print_Area" localSheetId="12">'SE090'!#REF!</definedName>
    <definedName name="_xlnm.Print_Area" localSheetId="0">Summary!$A$1:$L$50</definedName>
    <definedName name="_xlnm.Print_Area" localSheetId="1">'SW005'!#REF!</definedName>
    <definedName name="_xlnm.Print_Area" localSheetId="6">'SW045'!#REF!</definedName>
    <definedName name="_xlnm.Print_Area" localSheetId="13">'SW095'!#REF!</definedName>
    <definedName name="_xlnm.Print_Area" localSheetId="15">'SW110'!#REF!</definedName>
    <definedName name="_xlnm.Print_Area" localSheetId="20">'SW165'!#REF!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3">#REF!</definedName>
    <definedName name="Start4">#REF!</definedName>
    <definedName name="Start5">#REF!</definedName>
    <definedName name="Start6" localSheetId="22">'CE175'!#REF!</definedName>
    <definedName name="Start6" localSheetId="9">'LV070'!#REF!</definedName>
    <definedName name="Start6" localSheetId="16">'NC125'!#REF!</definedName>
    <definedName name="Start6" localSheetId="7">'NE055'!#REF!</definedName>
    <definedName name="Start6" localSheetId="10">'NE075'!#REF!</definedName>
    <definedName name="Start6" localSheetId="18">'NE135'!#REF!</definedName>
    <definedName name="Start6" localSheetId="17">'NT130'!#REF!</definedName>
    <definedName name="Start6" localSheetId="19">'NW145'!#REF!</definedName>
    <definedName name="Start6" localSheetId="21">'NW170'!#REF!</definedName>
    <definedName name="Start6" localSheetId="14">'SA100'!#REF!</definedName>
    <definedName name="Start6" localSheetId="23">'SC180'!#REF!</definedName>
    <definedName name="Start6" localSheetId="2">'SE015'!#REF!</definedName>
    <definedName name="Start6" localSheetId="3">'SE020'!#REF!</definedName>
    <definedName name="Start6" localSheetId="4">'SE030'!#REF!</definedName>
    <definedName name="Start6" localSheetId="5">'SE035'!#REF!</definedName>
    <definedName name="Start6" localSheetId="8">'SE060'!#REF!</definedName>
    <definedName name="Start6" localSheetId="11">'SE080'!#REF!</definedName>
    <definedName name="Start6" localSheetId="12">'SE090'!#REF!</definedName>
    <definedName name="Start6" localSheetId="6">'SW045'!#REF!</definedName>
    <definedName name="Start6" localSheetId="13">'SW095'!#REF!</definedName>
    <definedName name="Start6" localSheetId="15">'SW110'!#REF!</definedName>
    <definedName name="Start6" localSheetId="20">'SW165'!#REF!</definedName>
    <definedName name="Start6">'SW005'!#REF!</definedName>
    <definedName name="Start7">#REF!</definedName>
    <definedName name="Start8">#REF!</definedName>
    <definedName name="Start9">#REF!</definedName>
  </definedNames>
  <calcPr calcId="162913"/>
  <customWorkbookViews>
    <customWorkbookView name="dbohanick - Personal View" guid="{0A95727B-A9A6-44C2-A54C-9983FB78BBE9}" mergeInterval="0" personalView="1" maximized="1" xWindow="1" yWindow="1" windowWidth="1916" windowHeight="818" tabRatio="732" activeSheetId="1"/>
    <customWorkbookView name="dwalkowiak - Personal View" guid="{EC8DBB44-CD50-4F4D-AF3E-1635D8743D7B}" mergeInterval="0" personalView="1" maximized="1" xWindow="1" yWindow="1" windowWidth="1270" windowHeight="611" tabRatio="732" activeSheetId="19"/>
  </customWorkbookViews>
</workbook>
</file>

<file path=xl/calcChain.xml><?xml version="1.0" encoding="utf-8"?>
<calcChain xmlns="http://schemas.openxmlformats.org/spreadsheetml/2006/main">
  <c r="L18" i="17" l="1"/>
  <c r="L26" i="17"/>
  <c r="M32" i="17"/>
  <c r="M18" i="17"/>
  <c r="M26" i="17"/>
  <c r="M20" i="17"/>
  <c r="M19" i="17"/>
  <c r="M16" i="17"/>
  <c r="M15" i="17"/>
  <c r="G32" i="17" l="1"/>
  <c r="G26" i="17"/>
  <c r="G25" i="17"/>
  <c r="G20" i="17"/>
  <c r="G19" i="17"/>
  <c r="G18" i="17"/>
  <c r="G16" i="17"/>
  <c r="G15" i="17"/>
  <c r="G17" i="22" l="1"/>
  <c r="L10" i="13" l="1"/>
  <c r="L10" i="24" l="1"/>
  <c r="F10" i="24"/>
  <c r="L10" i="23"/>
  <c r="F10" i="23"/>
  <c r="L10" i="22"/>
  <c r="F10" i="22"/>
  <c r="F10" i="20"/>
  <c r="L10" i="19"/>
  <c r="F10" i="18"/>
  <c r="L10" i="17"/>
  <c r="F10" i="17"/>
  <c r="L10" i="16"/>
  <c r="F10" i="16"/>
  <c r="L10" i="14"/>
  <c r="L10" i="12"/>
  <c r="F10" i="12"/>
  <c r="L10" i="10"/>
  <c r="F10" i="10"/>
  <c r="L10" i="9"/>
  <c r="F10" i="9"/>
  <c r="L10" i="8"/>
  <c r="F10" i="8"/>
  <c r="L10" i="6"/>
  <c r="F10" i="6"/>
  <c r="L10" i="5"/>
  <c r="F10" i="5"/>
  <c r="L10" i="4"/>
  <c r="F10" i="4"/>
  <c r="L10" i="3"/>
  <c r="F10" i="3"/>
  <c r="L10" i="2"/>
  <c r="F10" i="13" l="1"/>
  <c r="L10" i="18"/>
  <c r="W18" i="2" l="1"/>
  <c r="W18" i="7"/>
  <c r="W18" i="14"/>
  <c r="W17" i="2"/>
  <c r="W17" i="3"/>
  <c r="W17" i="4"/>
  <c r="W17" i="5"/>
  <c r="W17" i="6"/>
  <c r="W17" i="7"/>
  <c r="W17" i="8"/>
  <c r="W17" i="9"/>
  <c r="W17" i="11"/>
  <c r="W17" i="14"/>
  <c r="W17" i="16"/>
  <c r="W17" i="18"/>
  <c r="W17" i="19"/>
  <c r="W17" i="24"/>
  <c r="V18" i="2"/>
  <c r="V18" i="7"/>
  <c r="V18" i="14"/>
  <c r="V17" i="2"/>
  <c r="V17" i="3"/>
  <c r="V17" i="4"/>
  <c r="V17" i="5"/>
  <c r="V17" i="6"/>
  <c r="V17" i="7"/>
  <c r="V17" i="8"/>
  <c r="V17" i="9"/>
  <c r="V17" i="10"/>
  <c r="V17" i="11"/>
  <c r="V17" i="13"/>
  <c r="V17" i="14"/>
  <c r="V17" i="16"/>
  <c r="V17" i="18"/>
  <c r="V17" i="19"/>
  <c r="V17" i="21"/>
  <c r="V17" i="22"/>
  <c r="V17" i="24"/>
  <c r="V16" i="2"/>
  <c r="V16" i="3"/>
  <c r="V16" i="4"/>
  <c r="V16" i="5"/>
  <c r="V16" i="6"/>
  <c r="V16" i="7"/>
  <c r="V16" i="8"/>
  <c r="V16" i="9"/>
  <c r="V16" i="11"/>
  <c r="V16" i="14"/>
  <c r="V16" i="16"/>
  <c r="V16" i="18"/>
  <c r="V16" i="19"/>
  <c r="V16" i="24"/>
  <c r="F10" i="19" l="1"/>
  <c r="Q43" i="3" l="1"/>
  <c r="Q42" i="3"/>
  <c r="R42" i="3" s="1"/>
  <c r="Q41" i="3"/>
  <c r="Q40" i="3"/>
  <c r="R40" i="3" s="1"/>
  <c r="Q39" i="3"/>
  <c r="Q38" i="3"/>
  <c r="R38" i="3" s="1"/>
  <c r="Q37" i="3"/>
  <c r="Q36" i="3"/>
  <c r="Q35" i="3"/>
  <c r="Q34" i="3"/>
  <c r="Q43" i="4"/>
  <c r="Q42" i="4"/>
  <c r="Q41" i="4"/>
  <c r="Q40" i="4"/>
  <c r="R40" i="4" s="1"/>
  <c r="Q39" i="4"/>
  <c r="Q38" i="4"/>
  <c r="Q37" i="4"/>
  <c r="Q36" i="4"/>
  <c r="Q35" i="4"/>
  <c r="Q34" i="4"/>
  <c r="Q43" i="5"/>
  <c r="Q42" i="5"/>
  <c r="R42" i="5" s="1"/>
  <c r="Q41" i="5"/>
  <c r="Q40" i="5"/>
  <c r="R40" i="5" s="1"/>
  <c r="Q39" i="5"/>
  <c r="Q38" i="5"/>
  <c r="R38" i="5" s="1"/>
  <c r="Q37" i="5"/>
  <c r="Q36" i="5"/>
  <c r="Q35" i="5"/>
  <c r="Q34" i="5"/>
  <c r="Q43" i="6"/>
  <c r="Q42" i="6"/>
  <c r="R42" i="6" s="1"/>
  <c r="Q41" i="6"/>
  <c r="Q40" i="6"/>
  <c r="Q39" i="6"/>
  <c r="Q38" i="6"/>
  <c r="Q37" i="6"/>
  <c r="Q36" i="6"/>
  <c r="Q35" i="6"/>
  <c r="Q34" i="6"/>
  <c r="Q43" i="7"/>
  <c r="Q42" i="7"/>
  <c r="R42" i="7" s="1"/>
  <c r="Q41" i="7"/>
  <c r="Q40" i="7"/>
  <c r="R40" i="7" s="1"/>
  <c r="Q39" i="7"/>
  <c r="Q38" i="7"/>
  <c r="R38" i="7" s="1"/>
  <c r="Q37" i="7"/>
  <c r="Q36" i="7"/>
  <c r="Q35" i="7"/>
  <c r="Q34" i="7"/>
  <c r="Q43" i="8"/>
  <c r="Q42" i="8"/>
  <c r="R42" i="8" s="1"/>
  <c r="Q41" i="8"/>
  <c r="Q40" i="8"/>
  <c r="R40" i="8" s="1"/>
  <c r="Q39" i="8"/>
  <c r="Q38" i="8"/>
  <c r="R38" i="8" s="1"/>
  <c r="Q37" i="8"/>
  <c r="Q36" i="8"/>
  <c r="Q35" i="8"/>
  <c r="Q34" i="8"/>
  <c r="Q43" i="9"/>
  <c r="Q42" i="9"/>
  <c r="R42" i="9" s="1"/>
  <c r="Q41" i="9"/>
  <c r="Q40" i="9"/>
  <c r="R40" i="9" s="1"/>
  <c r="Q39" i="9"/>
  <c r="Q38" i="9"/>
  <c r="R38" i="9" s="1"/>
  <c r="Q37" i="9"/>
  <c r="Q36" i="9"/>
  <c r="Q35" i="9"/>
  <c r="Q34" i="9"/>
  <c r="Q43" i="10"/>
  <c r="Q42" i="10"/>
  <c r="Q41" i="10"/>
  <c r="Q40" i="10"/>
  <c r="Q39" i="10"/>
  <c r="Q38" i="10"/>
  <c r="Q37" i="10"/>
  <c r="Q36" i="10"/>
  <c r="Q35" i="10"/>
  <c r="Q34" i="10"/>
  <c r="Q43" i="11"/>
  <c r="Q42" i="11"/>
  <c r="R42" i="11" s="1"/>
  <c r="Q41" i="11"/>
  <c r="Q40" i="11"/>
  <c r="R40" i="11" s="1"/>
  <c r="Q39" i="11"/>
  <c r="Q38" i="11"/>
  <c r="R38" i="11" s="1"/>
  <c r="Q37" i="11"/>
  <c r="Q36" i="11"/>
  <c r="Q35" i="11"/>
  <c r="Q34" i="11"/>
  <c r="Q43" i="12"/>
  <c r="Q42" i="12"/>
  <c r="R42" i="12" s="1"/>
  <c r="Q41" i="12"/>
  <c r="Q40" i="12"/>
  <c r="R40" i="12" s="1"/>
  <c r="Q39" i="12"/>
  <c r="Q38" i="12"/>
  <c r="R38" i="12" s="1"/>
  <c r="Q37" i="12"/>
  <c r="Q36" i="12"/>
  <c r="Q35" i="12"/>
  <c r="Q34" i="12"/>
  <c r="Q43" i="13"/>
  <c r="Q42" i="13"/>
  <c r="R42" i="13" s="1"/>
  <c r="Q41" i="13"/>
  <c r="Q40" i="13"/>
  <c r="R40" i="13" s="1"/>
  <c r="Q39" i="13"/>
  <c r="Q38" i="13"/>
  <c r="R38" i="13" s="1"/>
  <c r="Q37" i="13"/>
  <c r="Q36" i="13"/>
  <c r="Q35" i="13"/>
  <c r="Q34" i="13"/>
  <c r="Q43" i="14"/>
  <c r="Q42" i="14"/>
  <c r="Q41" i="14"/>
  <c r="Q40" i="14"/>
  <c r="Q39" i="14"/>
  <c r="Q38" i="14"/>
  <c r="R38" i="14" s="1"/>
  <c r="Q37" i="14"/>
  <c r="Q36" i="14"/>
  <c r="Q35" i="14"/>
  <c r="Q34" i="14"/>
  <c r="Q43" i="15"/>
  <c r="Q42" i="15"/>
  <c r="R42" i="15" s="1"/>
  <c r="Q41" i="15"/>
  <c r="Q40" i="15"/>
  <c r="R40" i="15" s="1"/>
  <c r="Q39" i="15"/>
  <c r="Q38" i="15"/>
  <c r="R38" i="15" s="1"/>
  <c r="Q37" i="15"/>
  <c r="Q36" i="15"/>
  <c r="Q35" i="15"/>
  <c r="Q34" i="15"/>
  <c r="Q43" i="16"/>
  <c r="Q42" i="16"/>
  <c r="Q41" i="16"/>
  <c r="Q40" i="16"/>
  <c r="R40" i="16" s="1"/>
  <c r="Q39" i="16"/>
  <c r="Q38" i="16"/>
  <c r="Q37" i="16"/>
  <c r="Q36" i="16"/>
  <c r="Q35" i="16"/>
  <c r="Q34" i="16"/>
  <c r="Q43" i="17"/>
  <c r="Q42" i="17"/>
  <c r="R42" i="17" s="1"/>
  <c r="Q41" i="17"/>
  <c r="Q40" i="17"/>
  <c r="Q39" i="17"/>
  <c r="Q38" i="17"/>
  <c r="R38" i="17" s="1"/>
  <c r="Q37" i="17"/>
  <c r="Q36" i="17"/>
  <c r="Q35" i="17"/>
  <c r="Q34" i="17"/>
  <c r="Q43" i="18"/>
  <c r="Q42" i="18"/>
  <c r="R42" i="18" s="1"/>
  <c r="Q41" i="18"/>
  <c r="Q40" i="18"/>
  <c r="R40" i="18" s="1"/>
  <c r="Q39" i="18"/>
  <c r="Q38" i="18"/>
  <c r="R38" i="18" s="1"/>
  <c r="Q37" i="18"/>
  <c r="Q36" i="18"/>
  <c r="Q35" i="18"/>
  <c r="Q34" i="18"/>
  <c r="Q43" i="19"/>
  <c r="Q42" i="19"/>
  <c r="R42" i="19" s="1"/>
  <c r="Q41" i="19"/>
  <c r="Q40" i="19"/>
  <c r="Q39" i="19"/>
  <c r="Q38" i="19"/>
  <c r="R38" i="19" s="1"/>
  <c r="Q37" i="19"/>
  <c r="Q36" i="19"/>
  <c r="Q35" i="19"/>
  <c r="Q34" i="19"/>
  <c r="Q43" i="20"/>
  <c r="Q42" i="20"/>
  <c r="Q41" i="20"/>
  <c r="Q40" i="20"/>
  <c r="R40" i="20" s="1"/>
  <c r="Q39" i="20"/>
  <c r="Q38" i="20"/>
  <c r="Q37" i="20"/>
  <c r="Q36" i="20"/>
  <c r="Q35" i="20"/>
  <c r="Q34" i="20"/>
  <c r="Q43" i="21"/>
  <c r="Q42" i="21"/>
  <c r="Q41" i="21"/>
  <c r="Q40" i="21"/>
  <c r="Q39" i="21"/>
  <c r="Q38" i="21"/>
  <c r="Q37" i="21"/>
  <c r="Q36" i="21"/>
  <c r="Q35" i="21"/>
  <c r="Q34" i="21"/>
  <c r="Q43" i="22"/>
  <c r="Q42" i="22"/>
  <c r="Q41" i="22"/>
  <c r="Q40" i="22"/>
  <c r="R40" i="22" s="1"/>
  <c r="Q39" i="22"/>
  <c r="Q38" i="22"/>
  <c r="Q37" i="22"/>
  <c r="Q36" i="22"/>
  <c r="Q35" i="22"/>
  <c r="Q34" i="22"/>
  <c r="Q43" i="23"/>
  <c r="Q42" i="23"/>
  <c r="Q41" i="23"/>
  <c r="Q40" i="23"/>
  <c r="Q39" i="23"/>
  <c r="Q38" i="23"/>
  <c r="Q37" i="23"/>
  <c r="Q36" i="23"/>
  <c r="Q35" i="23"/>
  <c r="Q34" i="23"/>
  <c r="Q43" i="24"/>
  <c r="Q42" i="24"/>
  <c r="Q41" i="24"/>
  <c r="Q40" i="24"/>
  <c r="R40" i="24" s="1"/>
  <c r="Q39" i="24"/>
  <c r="Q38" i="24"/>
  <c r="Q37" i="24"/>
  <c r="Q36" i="24"/>
  <c r="Q35" i="24"/>
  <c r="Q34" i="24"/>
  <c r="Q43" i="2"/>
  <c r="Q42" i="2"/>
  <c r="Q41" i="2"/>
  <c r="Q40" i="2"/>
  <c r="Q39" i="2"/>
  <c r="Q38" i="2"/>
  <c r="Q37" i="2"/>
  <c r="Q36" i="2"/>
  <c r="Q35" i="2"/>
  <c r="Q34" i="2"/>
  <c r="J43" i="1"/>
  <c r="Q43" i="1" s="1"/>
  <c r="J42" i="1"/>
  <c r="Q42" i="1" s="1"/>
  <c r="J41" i="1"/>
  <c r="Q41" i="1" s="1"/>
  <c r="J40" i="1"/>
  <c r="Q40" i="1" s="1"/>
  <c r="J39" i="1"/>
  <c r="Q39" i="1" s="1"/>
  <c r="J37" i="1"/>
  <c r="Q37" i="1" s="1"/>
  <c r="J36" i="1"/>
  <c r="Q36" i="1" s="1"/>
  <c r="J35" i="1"/>
  <c r="Q35" i="1" s="1"/>
  <c r="J34" i="1"/>
  <c r="Q34" i="1" s="1"/>
  <c r="J15" i="1"/>
  <c r="G31" i="1"/>
  <c r="G30" i="1"/>
  <c r="G29" i="1"/>
  <c r="P43" i="3"/>
  <c r="P42" i="3"/>
  <c r="P41" i="3"/>
  <c r="P40" i="3"/>
  <c r="P39" i="3"/>
  <c r="P38" i="3"/>
  <c r="P37" i="3"/>
  <c r="P36" i="3"/>
  <c r="P35" i="3"/>
  <c r="P34" i="3"/>
  <c r="P43" i="4"/>
  <c r="P42" i="4"/>
  <c r="P41" i="4"/>
  <c r="P40" i="4"/>
  <c r="P39" i="4"/>
  <c r="P38" i="4"/>
  <c r="P37" i="4"/>
  <c r="P36" i="4"/>
  <c r="P35" i="4"/>
  <c r="P34" i="4"/>
  <c r="P43" i="5"/>
  <c r="P42" i="5"/>
  <c r="P41" i="5"/>
  <c r="P40" i="5"/>
  <c r="P39" i="5"/>
  <c r="P38" i="5"/>
  <c r="P37" i="5"/>
  <c r="P36" i="5"/>
  <c r="P35" i="5"/>
  <c r="P34" i="5"/>
  <c r="P43" i="6"/>
  <c r="P42" i="6"/>
  <c r="P41" i="6"/>
  <c r="P40" i="6"/>
  <c r="P39" i="6"/>
  <c r="R39" i="6" s="1"/>
  <c r="P38" i="6"/>
  <c r="P37" i="6"/>
  <c r="P36" i="6"/>
  <c r="P35" i="6"/>
  <c r="P34" i="6"/>
  <c r="P43" i="7"/>
  <c r="P42" i="7"/>
  <c r="P41" i="7"/>
  <c r="R41" i="7" s="1"/>
  <c r="P40" i="7"/>
  <c r="P39" i="7"/>
  <c r="P38" i="7"/>
  <c r="P37" i="7"/>
  <c r="P36" i="7"/>
  <c r="P35" i="7"/>
  <c r="P34" i="7"/>
  <c r="P43" i="8"/>
  <c r="P42" i="8"/>
  <c r="P41" i="8"/>
  <c r="P40" i="8"/>
  <c r="P39" i="8"/>
  <c r="R39" i="8" s="1"/>
  <c r="P38" i="8"/>
  <c r="P37" i="8"/>
  <c r="P36" i="8"/>
  <c r="P35" i="8"/>
  <c r="P34" i="8"/>
  <c r="P43" i="9"/>
  <c r="P42" i="9"/>
  <c r="P41" i="9"/>
  <c r="P40" i="9"/>
  <c r="P39" i="9"/>
  <c r="P38" i="9"/>
  <c r="P37" i="9"/>
  <c r="P36" i="9"/>
  <c r="P35" i="9"/>
  <c r="P34" i="9"/>
  <c r="P43" i="10"/>
  <c r="P42" i="10"/>
  <c r="P41" i="10"/>
  <c r="P40" i="10"/>
  <c r="P39" i="10"/>
  <c r="R39" i="10" s="1"/>
  <c r="P38" i="10"/>
  <c r="P37" i="10"/>
  <c r="P36" i="10"/>
  <c r="P35" i="10"/>
  <c r="P34" i="10"/>
  <c r="P43" i="11"/>
  <c r="P42" i="11"/>
  <c r="P41" i="11"/>
  <c r="P40" i="11"/>
  <c r="P39" i="11"/>
  <c r="P38" i="11"/>
  <c r="P37" i="11"/>
  <c r="P36" i="11"/>
  <c r="P35" i="11"/>
  <c r="P34" i="11"/>
  <c r="P43" i="12"/>
  <c r="P42" i="12"/>
  <c r="P41" i="12"/>
  <c r="P40" i="12"/>
  <c r="P39" i="12"/>
  <c r="P38" i="12"/>
  <c r="P37" i="12"/>
  <c r="P36" i="12"/>
  <c r="P35" i="12"/>
  <c r="P34" i="12"/>
  <c r="P43" i="13"/>
  <c r="P42" i="13"/>
  <c r="P41" i="13"/>
  <c r="P40" i="13"/>
  <c r="P39" i="13"/>
  <c r="P38" i="13"/>
  <c r="P37" i="13"/>
  <c r="P36" i="13"/>
  <c r="P35" i="13"/>
  <c r="P34" i="13"/>
  <c r="P43" i="14"/>
  <c r="P42" i="14"/>
  <c r="P41" i="14"/>
  <c r="P40" i="14"/>
  <c r="P39" i="14"/>
  <c r="R39" i="14" s="1"/>
  <c r="P38" i="14"/>
  <c r="P37" i="14"/>
  <c r="P36" i="14"/>
  <c r="P35" i="14"/>
  <c r="P34" i="14"/>
  <c r="P43" i="15"/>
  <c r="P42" i="15"/>
  <c r="P41" i="15"/>
  <c r="P40" i="15"/>
  <c r="P39" i="15"/>
  <c r="P38" i="15"/>
  <c r="P37" i="15"/>
  <c r="P36" i="15"/>
  <c r="P35" i="15"/>
  <c r="P34" i="15"/>
  <c r="P43" i="16"/>
  <c r="P42" i="16"/>
  <c r="P41" i="16"/>
  <c r="P40" i="16"/>
  <c r="P39" i="16"/>
  <c r="R39" i="16" s="1"/>
  <c r="P38" i="16"/>
  <c r="P37" i="16"/>
  <c r="P36" i="16"/>
  <c r="P35" i="16"/>
  <c r="P34" i="16"/>
  <c r="P43" i="17"/>
  <c r="P42" i="17"/>
  <c r="P41" i="17"/>
  <c r="P40" i="17"/>
  <c r="P39" i="17"/>
  <c r="P38" i="17"/>
  <c r="P37" i="17"/>
  <c r="P36" i="17"/>
  <c r="P35" i="17"/>
  <c r="P34" i="17"/>
  <c r="P43" i="18"/>
  <c r="P42" i="18"/>
  <c r="P41" i="18"/>
  <c r="P40" i="18"/>
  <c r="P39" i="18"/>
  <c r="P38" i="18"/>
  <c r="P37" i="18"/>
  <c r="P36" i="18"/>
  <c r="P35" i="18"/>
  <c r="P34" i="18"/>
  <c r="P43" i="19"/>
  <c r="P42" i="19"/>
  <c r="P41" i="19"/>
  <c r="R41" i="19" s="1"/>
  <c r="P40" i="19"/>
  <c r="P39" i="19"/>
  <c r="P38" i="19"/>
  <c r="P37" i="19"/>
  <c r="P36" i="19"/>
  <c r="P35" i="19"/>
  <c r="P34" i="19"/>
  <c r="P43" i="20"/>
  <c r="P42" i="20"/>
  <c r="P41" i="20"/>
  <c r="P40" i="20"/>
  <c r="P39" i="20"/>
  <c r="P38" i="20"/>
  <c r="R38" i="20" s="1"/>
  <c r="P37" i="20"/>
  <c r="P36" i="20"/>
  <c r="P35" i="20"/>
  <c r="P34" i="20"/>
  <c r="P43" i="21"/>
  <c r="P42" i="21"/>
  <c r="P41" i="21"/>
  <c r="P40" i="21"/>
  <c r="P39" i="21"/>
  <c r="P38" i="21"/>
  <c r="P37" i="21"/>
  <c r="P36" i="21"/>
  <c r="P35" i="21"/>
  <c r="P34" i="21"/>
  <c r="P43" i="22"/>
  <c r="P42" i="22"/>
  <c r="R42" i="22" s="1"/>
  <c r="P41" i="22"/>
  <c r="P40" i="22"/>
  <c r="P39" i="22"/>
  <c r="R39" i="22" s="1"/>
  <c r="P38" i="22"/>
  <c r="P37" i="22"/>
  <c r="P36" i="22"/>
  <c r="P35" i="22"/>
  <c r="P34" i="22"/>
  <c r="P43" i="23"/>
  <c r="P42" i="23"/>
  <c r="P41" i="23"/>
  <c r="P40" i="23"/>
  <c r="P39" i="23"/>
  <c r="P38" i="23"/>
  <c r="P37" i="23"/>
  <c r="P36" i="23"/>
  <c r="P35" i="23"/>
  <c r="P34" i="23"/>
  <c r="P43" i="24"/>
  <c r="P42" i="24"/>
  <c r="P41" i="24"/>
  <c r="P40" i="24"/>
  <c r="P39" i="24"/>
  <c r="P38" i="24"/>
  <c r="P37" i="24"/>
  <c r="P36" i="24"/>
  <c r="P35" i="24"/>
  <c r="P34" i="24"/>
  <c r="P43" i="2"/>
  <c r="P42" i="2"/>
  <c r="P41" i="2"/>
  <c r="R41" i="2" s="1"/>
  <c r="P40" i="2"/>
  <c r="P39" i="2"/>
  <c r="P38" i="2"/>
  <c r="P37" i="2"/>
  <c r="P36" i="2"/>
  <c r="P35" i="2"/>
  <c r="P34" i="2"/>
  <c r="P25" i="2"/>
  <c r="Q21" i="3"/>
  <c r="R21" i="3" s="1"/>
  <c r="Q22" i="3"/>
  <c r="Q21" i="4"/>
  <c r="Q22" i="4"/>
  <c r="Q21" i="5"/>
  <c r="Q22" i="5"/>
  <c r="Q21" i="6"/>
  <c r="Q22" i="6"/>
  <c r="Q21" i="7"/>
  <c r="Q22" i="7"/>
  <c r="Q21" i="8"/>
  <c r="Q22" i="8"/>
  <c r="Q21" i="9"/>
  <c r="Q22" i="9"/>
  <c r="Q21" i="10"/>
  <c r="Q22" i="10"/>
  <c r="Q21" i="11"/>
  <c r="Q22" i="11"/>
  <c r="Q21" i="12"/>
  <c r="Q22" i="12"/>
  <c r="Q21" i="13"/>
  <c r="Q22" i="13"/>
  <c r="Q21" i="14"/>
  <c r="Q22" i="14"/>
  <c r="Q21" i="15"/>
  <c r="Q22" i="15"/>
  <c r="Q21" i="16"/>
  <c r="Q22" i="16"/>
  <c r="Q21" i="17"/>
  <c r="R21" i="17" s="1"/>
  <c r="Q22" i="17"/>
  <c r="Q21" i="18"/>
  <c r="Q22" i="18"/>
  <c r="Q21" i="19"/>
  <c r="Q22" i="19"/>
  <c r="Q21" i="20"/>
  <c r="Q22" i="20"/>
  <c r="Q21" i="21"/>
  <c r="Q22" i="21"/>
  <c r="Q21" i="22"/>
  <c r="Q22" i="22"/>
  <c r="Q21" i="23"/>
  <c r="Q22" i="23"/>
  <c r="Q21" i="24"/>
  <c r="Q22" i="24"/>
  <c r="Q21" i="2"/>
  <c r="Q22" i="2"/>
  <c r="Q27" i="3"/>
  <c r="Q28" i="3"/>
  <c r="Q29" i="3"/>
  <c r="Q30" i="3"/>
  <c r="Q31" i="3"/>
  <c r="R31" i="3" s="1"/>
  <c r="Q27" i="4"/>
  <c r="Q28" i="4"/>
  <c r="Q29" i="4"/>
  <c r="Q30" i="4"/>
  <c r="Q31" i="4"/>
  <c r="R31" i="4" s="1"/>
  <c r="Q27" i="5"/>
  <c r="Q28" i="5"/>
  <c r="Q29" i="5"/>
  <c r="Q30" i="5"/>
  <c r="Q31" i="5"/>
  <c r="Q27" i="6"/>
  <c r="Q28" i="6"/>
  <c r="Q29" i="6"/>
  <c r="R29" i="6" s="1"/>
  <c r="Q30" i="6"/>
  <c r="Q31" i="6"/>
  <c r="Q27" i="7"/>
  <c r="Q28" i="7"/>
  <c r="Q29" i="7"/>
  <c r="Q30" i="7"/>
  <c r="Q31" i="7"/>
  <c r="Q27" i="8"/>
  <c r="Q28" i="8"/>
  <c r="Q29" i="8"/>
  <c r="Q30" i="8"/>
  <c r="Q31" i="8"/>
  <c r="Q27" i="9"/>
  <c r="Q28" i="9"/>
  <c r="Q29" i="9"/>
  <c r="Q30" i="9"/>
  <c r="R30" i="9" s="1"/>
  <c r="Q31" i="9"/>
  <c r="Q27" i="10"/>
  <c r="Q28" i="10"/>
  <c r="Q29" i="10"/>
  <c r="Q30" i="10"/>
  <c r="Q31" i="10"/>
  <c r="Q27" i="11"/>
  <c r="Q28" i="11"/>
  <c r="Q29" i="11"/>
  <c r="Q30" i="11"/>
  <c r="Q31" i="11"/>
  <c r="Q27" i="12"/>
  <c r="Q28" i="12"/>
  <c r="Q29" i="12"/>
  <c r="Q30" i="12"/>
  <c r="Q31" i="12"/>
  <c r="Q27" i="13"/>
  <c r="Q28" i="13"/>
  <c r="Q29" i="13"/>
  <c r="Q30" i="13"/>
  <c r="R30" i="13" s="1"/>
  <c r="Q31" i="13"/>
  <c r="Q27" i="14"/>
  <c r="Q28" i="14"/>
  <c r="Q29" i="14"/>
  <c r="Q30" i="14"/>
  <c r="Q31" i="14"/>
  <c r="Q27" i="15"/>
  <c r="Q28" i="15"/>
  <c r="Q29" i="15"/>
  <c r="Q30" i="15"/>
  <c r="R30" i="15" s="1"/>
  <c r="Q31" i="15"/>
  <c r="Q27" i="16"/>
  <c r="Q28" i="16"/>
  <c r="Q29" i="16"/>
  <c r="Q30" i="16"/>
  <c r="Q31" i="16"/>
  <c r="R31" i="16" s="1"/>
  <c r="Q27" i="17"/>
  <c r="Q28" i="17"/>
  <c r="Q29" i="17"/>
  <c r="Q30" i="17"/>
  <c r="R30" i="17" s="1"/>
  <c r="Q31" i="17"/>
  <c r="Q27" i="18"/>
  <c r="Q28" i="18"/>
  <c r="Q29" i="18"/>
  <c r="Q30" i="18"/>
  <c r="Q31" i="18"/>
  <c r="R31" i="18" s="1"/>
  <c r="Q27" i="19"/>
  <c r="Q28" i="19"/>
  <c r="Q29" i="19"/>
  <c r="Q30" i="19"/>
  <c r="R30" i="19" s="1"/>
  <c r="Q31" i="19"/>
  <c r="Q27" i="20"/>
  <c r="Q28" i="20"/>
  <c r="Q29" i="20"/>
  <c r="Q30" i="20"/>
  <c r="Q31" i="20"/>
  <c r="Q27" i="21"/>
  <c r="Q28" i="21"/>
  <c r="Q29" i="21"/>
  <c r="Q30" i="21"/>
  <c r="R30" i="21" s="1"/>
  <c r="Q31" i="21"/>
  <c r="Q27" i="22"/>
  <c r="Q28" i="22"/>
  <c r="Q29" i="22"/>
  <c r="Q30" i="22"/>
  <c r="Q31" i="22"/>
  <c r="Q27" i="23"/>
  <c r="Q28" i="23"/>
  <c r="Q29" i="23"/>
  <c r="Q30" i="23"/>
  <c r="Q31" i="23"/>
  <c r="Q27" i="24"/>
  <c r="Q28" i="24"/>
  <c r="Q29" i="24"/>
  <c r="Q30" i="24"/>
  <c r="Q31" i="24"/>
  <c r="Q27" i="2"/>
  <c r="Q28" i="2"/>
  <c r="Q29" i="2"/>
  <c r="Q30" i="2"/>
  <c r="Q31" i="2"/>
  <c r="G17" i="3"/>
  <c r="G17" i="4"/>
  <c r="G17" i="5"/>
  <c r="G17" i="6"/>
  <c r="G17" i="7"/>
  <c r="G17" i="8"/>
  <c r="G17" i="9"/>
  <c r="G17" i="10"/>
  <c r="G17" i="11"/>
  <c r="G17" i="12"/>
  <c r="G17" i="13"/>
  <c r="G17" i="14"/>
  <c r="G17" i="15"/>
  <c r="G17" i="16"/>
  <c r="G17" i="17"/>
  <c r="G17" i="18"/>
  <c r="G17" i="19"/>
  <c r="G17" i="20"/>
  <c r="G17" i="21"/>
  <c r="G17" i="23"/>
  <c r="G17" i="24"/>
  <c r="G17" i="2"/>
  <c r="G24" i="3"/>
  <c r="V18" i="3" s="1"/>
  <c r="W18" i="3" s="1"/>
  <c r="G24" i="4"/>
  <c r="G24" i="5"/>
  <c r="G24" i="6"/>
  <c r="G24" i="7"/>
  <c r="G24" i="8"/>
  <c r="G24" i="9"/>
  <c r="G24" i="10"/>
  <c r="V18" i="10" s="1"/>
  <c r="G24" i="11"/>
  <c r="G24" i="12"/>
  <c r="G24" i="13"/>
  <c r="G24" i="14"/>
  <c r="G24" i="15"/>
  <c r="G24" i="16"/>
  <c r="G24" i="17"/>
  <c r="G24" i="18"/>
  <c r="G24" i="19"/>
  <c r="G24" i="20"/>
  <c r="G24" i="21"/>
  <c r="G24" i="22"/>
  <c r="G24" i="23"/>
  <c r="G24" i="24"/>
  <c r="G24" i="2"/>
  <c r="P29" i="3"/>
  <c r="R29" i="3" s="1"/>
  <c r="P30" i="3"/>
  <c r="R30" i="3" s="1"/>
  <c r="P31" i="3"/>
  <c r="P29" i="4"/>
  <c r="P30" i="4"/>
  <c r="R30" i="4" s="1"/>
  <c r="P31" i="4"/>
  <c r="P29" i="5"/>
  <c r="P30" i="5"/>
  <c r="P31" i="5"/>
  <c r="R31" i="5" s="1"/>
  <c r="P29" i="6"/>
  <c r="P30" i="6"/>
  <c r="P31" i="6"/>
  <c r="P29" i="7"/>
  <c r="R29" i="7" s="1"/>
  <c r="P30" i="7"/>
  <c r="R30" i="7" s="1"/>
  <c r="P31" i="7"/>
  <c r="P29" i="8"/>
  <c r="P30" i="8"/>
  <c r="R30" i="8" s="1"/>
  <c r="P31" i="8"/>
  <c r="P29" i="9"/>
  <c r="P30" i="9"/>
  <c r="P31" i="9"/>
  <c r="R31" i="9" s="1"/>
  <c r="P29" i="10"/>
  <c r="P30" i="10"/>
  <c r="P31" i="10"/>
  <c r="P29" i="11"/>
  <c r="P30" i="11"/>
  <c r="P31" i="11"/>
  <c r="P29" i="12"/>
  <c r="P30" i="12"/>
  <c r="R30" i="12" s="1"/>
  <c r="P31" i="12"/>
  <c r="P29" i="13"/>
  <c r="P30" i="13"/>
  <c r="P31" i="13"/>
  <c r="R31" i="13" s="1"/>
  <c r="P29" i="14"/>
  <c r="P30" i="14"/>
  <c r="P31" i="14"/>
  <c r="P29" i="15"/>
  <c r="R29" i="15" s="1"/>
  <c r="P30" i="15"/>
  <c r="P31" i="15"/>
  <c r="P29" i="16"/>
  <c r="P30" i="16"/>
  <c r="R30" i="16" s="1"/>
  <c r="P31" i="16"/>
  <c r="P29" i="17"/>
  <c r="P30" i="17"/>
  <c r="P31" i="17"/>
  <c r="P29" i="18"/>
  <c r="P30" i="18"/>
  <c r="P31" i="18"/>
  <c r="P29" i="19"/>
  <c r="R29" i="19" s="1"/>
  <c r="P30" i="19"/>
  <c r="P31" i="19"/>
  <c r="P29" i="20"/>
  <c r="R29" i="20" s="1"/>
  <c r="P30" i="20"/>
  <c r="R30" i="20" s="1"/>
  <c r="P31" i="20"/>
  <c r="P29" i="21"/>
  <c r="P30" i="21"/>
  <c r="P31" i="21"/>
  <c r="R31" i="21" s="1"/>
  <c r="P29" i="22"/>
  <c r="P30" i="22"/>
  <c r="P31" i="22"/>
  <c r="P29" i="23"/>
  <c r="P30" i="23"/>
  <c r="R30" i="23" s="1"/>
  <c r="P31" i="23"/>
  <c r="P29" i="24"/>
  <c r="R29" i="24" s="1"/>
  <c r="P30" i="24"/>
  <c r="R30" i="24" s="1"/>
  <c r="P31" i="24"/>
  <c r="P29" i="2"/>
  <c r="P30" i="2"/>
  <c r="P31" i="2"/>
  <c r="P20" i="3"/>
  <c r="P21" i="3"/>
  <c r="P20" i="4"/>
  <c r="P21" i="4"/>
  <c r="R21" i="4" s="1"/>
  <c r="P20" i="5"/>
  <c r="P21" i="5"/>
  <c r="P20" i="6"/>
  <c r="P21" i="6"/>
  <c r="R21" i="6" s="1"/>
  <c r="P20" i="7"/>
  <c r="P21" i="7"/>
  <c r="P20" i="8"/>
  <c r="P21" i="8"/>
  <c r="R21" i="8" s="1"/>
  <c r="P20" i="9"/>
  <c r="P21" i="9"/>
  <c r="P20" i="10"/>
  <c r="P21" i="10"/>
  <c r="R21" i="10" s="1"/>
  <c r="P20" i="11"/>
  <c r="P21" i="11"/>
  <c r="P20" i="12"/>
  <c r="P21" i="12"/>
  <c r="R21" i="12" s="1"/>
  <c r="P20" i="13"/>
  <c r="P21" i="13"/>
  <c r="P20" i="14"/>
  <c r="P21" i="14"/>
  <c r="R21" i="14" s="1"/>
  <c r="P20" i="15"/>
  <c r="P21" i="15"/>
  <c r="P20" i="16"/>
  <c r="P21" i="16"/>
  <c r="R21" i="16" s="1"/>
  <c r="P20" i="17"/>
  <c r="P21" i="17"/>
  <c r="P20" i="18"/>
  <c r="P21" i="18"/>
  <c r="R21" i="18" s="1"/>
  <c r="P20" i="19"/>
  <c r="P21" i="19"/>
  <c r="P20" i="20"/>
  <c r="P21" i="20"/>
  <c r="R21" i="20" s="1"/>
  <c r="P20" i="21"/>
  <c r="P21" i="21"/>
  <c r="P20" i="22"/>
  <c r="P21" i="22"/>
  <c r="R21" i="22" s="1"/>
  <c r="P20" i="23"/>
  <c r="P21" i="23"/>
  <c r="P20" i="24"/>
  <c r="P21" i="24"/>
  <c r="R21" i="24" s="1"/>
  <c r="P20" i="2"/>
  <c r="P21" i="2"/>
  <c r="R39" i="3"/>
  <c r="R38" i="4"/>
  <c r="R41" i="4"/>
  <c r="R42" i="4"/>
  <c r="R39" i="5"/>
  <c r="R38" i="6"/>
  <c r="R40" i="6"/>
  <c r="R41" i="6"/>
  <c r="R39" i="7"/>
  <c r="R41" i="8"/>
  <c r="R39" i="9"/>
  <c r="R41" i="9"/>
  <c r="R38" i="10"/>
  <c r="R40" i="10"/>
  <c r="R41" i="10"/>
  <c r="R42" i="10"/>
  <c r="R39" i="11"/>
  <c r="R41" i="12"/>
  <c r="R39" i="13"/>
  <c r="R41" i="13"/>
  <c r="R40" i="14"/>
  <c r="R41" i="14"/>
  <c r="R42" i="14"/>
  <c r="R39" i="15"/>
  <c r="R38" i="16"/>
  <c r="R41" i="16"/>
  <c r="R42" i="16"/>
  <c r="R39" i="17"/>
  <c r="R40" i="17"/>
  <c r="R41" i="17"/>
  <c r="R41" i="18"/>
  <c r="R39" i="19"/>
  <c r="R40" i="19"/>
  <c r="R39" i="20"/>
  <c r="R41" i="20"/>
  <c r="R42" i="20"/>
  <c r="R38" i="21"/>
  <c r="R39" i="21"/>
  <c r="R42" i="21"/>
  <c r="R38" i="22"/>
  <c r="R41" i="22"/>
  <c r="R39" i="23"/>
  <c r="R40" i="23"/>
  <c r="R41" i="23"/>
  <c r="R38" i="24"/>
  <c r="R41" i="24"/>
  <c r="R39" i="2"/>
  <c r="R40" i="2"/>
  <c r="R29" i="4"/>
  <c r="R29" i="5"/>
  <c r="R30" i="5"/>
  <c r="R30" i="6"/>
  <c r="R31" i="6"/>
  <c r="R31" i="7"/>
  <c r="R29" i="8"/>
  <c r="R29" i="9"/>
  <c r="R29" i="10"/>
  <c r="R30" i="10"/>
  <c r="R31" i="10"/>
  <c r="R30" i="11"/>
  <c r="R31" i="11"/>
  <c r="R29" i="12"/>
  <c r="R29" i="13"/>
  <c r="R30" i="14"/>
  <c r="R31" i="14"/>
  <c r="R31" i="15"/>
  <c r="R29" i="16"/>
  <c r="R29" i="17"/>
  <c r="R30" i="18"/>
  <c r="R31" i="19"/>
  <c r="R29" i="21"/>
  <c r="R30" i="22"/>
  <c r="R31" i="22"/>
  <c r="R31" i="23"/>
  <c r="R21" i="5"/>
  <c r="R21" i="7"/>
  <c r="R21" i="9"/>
  <c r="R21" i="11"/>
  <c r="R21" i="13"/>
  <c r="R21" i="15"/>
  <c r="R21" i="19"/>
  <c r="N21" i="3"/>
  <c r="N21" i="4"/>
  <c r="N21" i="5"/>
  <c r="N21" i="6"/>
  <c r="N21" i="7"/>
  <c r="N21" i="8"/>
  <c r="N21" i="9"/>
  <c r="N21" i="10"/>
  <c r="N21" i="11"/>
  <c r="N21" i="12"/>
  <c r="N21" i="13"/>
  <c r="N21" i="14"/>
  <c r="N21" i="15"/>
  <c r="N21" i="16"/>
  <c r="N21" i="17"/>
  <c r="N21" i="18"/>
  <c r="N21" i="19"/>
  <c r="N21" i="20"/>
  <c r="N21" i="21"/>
  <c r="N21" i="22"/>
  <c r="N21" i="23"/>
  <c r="N21" i="24"/>
  <c r="N21" i="2"/>
  <c r="N28" i="3"/>
  <c r="N29" i="3"/>
  <c r="N30" i="3"/>
  <c r="N31" i="3"/>
  <c r="N28" i="4"/>
  <c r="N29" i="4"/>
  <c r="N30" i="4"/>
  <c r="N31" i="4"/>
  <c r="N28" i="5"/>
  <c r="N29" i="5"/>
  <c r="N30" i="5"/>
  <c r="N31" i="5"/>
  <c r="N28" i="6"/>
  <c r="N29" i="6"/>
  <c r="N30" i="6"/>
  <c r="N31" i="6"/>
  <c r="N28" i="7"/>
  <c r="N29" i="7"/>
  <c r="N30" i="7"/>
  <c r="N31" i="7"/>
  <c r="N28" i="8"/>
  <c r="N29" i="8"/>
  <c r="N30" i="8"/>
  <c r="N31" i="8"/>
  <c r="N28" i="9"/>
  <c r="N29" i="9"/>
  <c r="N30" i="9"/>
  <c r="N31" i="9"/>
  <c r="N28" i="10"/>
  <c r="N29" i="10"/>
  <c r="N30" i="10"/>
  <c r="N31" i="10"/>
  <c r="N28" i="11"/>
  <c r="N29" i="11"/>
  <c r="N30" i="11"/>
  <c r="N31" i="11"/>
  <c r="N28" i="12"/>
  <c r="N29" i="12"/>
  <c r="N30" i="12"/>
  <c r="N31" i="12"/>
  <c r="N28" i="13"/>
  <c r="N29" i="13"/>
  <c r="N30" i="13"/>
  <c r="N31" i="13"/>
  <c r="N28" i="14"/>
  <c r="N29" i="14"/>
  <c r="N30" i="14"/>
  <c r="N31" i="14"/>
  <c r="N28" i="15"/>
  <c r="N29" i="15"/>
  <c r="N30" i="15"/>
  <c r="N31" i="15"/>
  <c r="N28" i="16"/>
  <c r="N29" i="16"/>
  <c r="N30" i="16"/>
  <c r="N31" i="16"/>
  <c r="N28" i="17"/>
  <c r="N29" i="17"/>
  <c r="N30" i="17"/>
  <c r="N31" i="17"/>
  <c r="N28" i="18"/>
  <c r="N29" i="18"/>
  <c r="N30" i="18"/>
  <c r="N31" i="18"/>
  <c r="N28" i="19"/>
  <c r="N29" i="19"/>
  <c r="N30" i="19"/>
  <c r="N31" i="19"/>
  <c r="N28" i="20"/>
  <c r="N29" i="20"/>
  <c r="N30" i="20"/>
  <c r="N31" i="20"/>
  <c r="N28" i="21"/>
  <c r="N29" i="21"/>
  <c r="N30" i="21"/>
  <c r="N31" i="21"/>
  <c r="N28" i="22"/>
  <c r="N29" i="22"/>
  <c r="N30" i="22"/>
  <c r="N31" i="22"/>
  <c r="N28" i="23"/>
  <c r="N29" i="23"/>
  <c r="N30" i="23"/>
  <c r="N31" i="23"/>
  <c r="N28" i="24"/>
  <c r="N29" i="24"/>
  <c r="N30" i="24"/>
  <c r="N31" i="24"/>
  <c r="N28" i="2"/>
  <c r="N29" i="2"/>
  <c r="N30" i="2"/>
  <c r="N31" i="2"/>
  <c r="K42" i="3"/>
  <c r="K41" i="3"/>
  <c r="K40" i="3"/>
  <c r="K39" i="3"/>
  <c r="K38" i="3"/>
  <c r="K42" i="4"/>
  <c r="K41" i="4"/>
  <c r="K40" i="4"/>
  <c r="K39" i="4"/>
  <c r="K38" i="4"/>
  <c r="K42" i="5"/>
  <c r="K41" i="5"/>
  <c r="K40" i="5"/>
  <c r="K39" i="5"/>
  <c r="K38" i="5"/>
  <c r="K42" i="6"/>
  <c r="K41" i="6"/>
  <c r="K40" i="6"/>
  <c r="K39" i="6"/>
  <c r="K38" i="6"/>
  <c r="K42" i="7"/>
  <c r="K41" i="7"/>
  <c r="K40" i="7"/>
  <c r="K39" i="7"/>
  <c r="K38" i="7"/>
  <c r="K42" i="8"/>
  <c r="K41" i="8"/>
  <c r="K40" i="8"/>
  <c r="K39" i="8"/>
  <c r="K38" i="8"/>
  <c r="K42" i="9"/>
  <c r="K41" i="9"/>
  <c r="K40" i="9"/>
  <c r="K39" i="9"/>
  <c r="K38" i="9"/>
  <c r="K42" i="10"/>
  <c r="K41" i="10"/>
  <c r="K40" i="10"/>
  <c r="K39" i="10"/>
  <c r="K38" i="10"/>
  <c r="K42" i="11"/>
  <c r="K41" i="11"/>
  <c r="K40" i="11"/>
  <c r="K39" i="11"/>
  <c r="K38" i="11"/>
  <c r="K42" i="12"/>
  <c r="K41" i="12"/>
  <c r="K40" i="12"/>
  <c r="K39" i="12"/>
  <c r="K38" i="12"/>
  <c r="K42" i="13"/>
  <c r="K41" i="13"/>
  <c r="K40" i="13"/>
  <c r="K39" i="13"/>
  <c r="K38" i="13"/>
  <c r="K42" i="14"/>
  <c r="K41" i="14"/>
  <c r="K40" i="14"/>
  <c r="K39" i="14"/>
  <c r="K38" i="14"/>
  <c r="K42" i="15"/>
  <c r="K41" i="15"/>
  <c r="K40" i="15"/>
  <c r="K39" i="15"/>
  <c r="K38" i="15"/>
  <c r="K42" i="16"/>
  <c r="K41" i="16"/>
  <c r="K40" i="16"/>
  <c r="K39" i="16"/>
  <c r="K38" i="16"/>
  <c r="K42" i="17"/>
  <c r="K41" i="17"/>
  <c r="K40" i="17"/>
  <c r="K39" i="17"/>
  <c r="K38" i="17"/>
  <c r="K42" i="18"/>
  <c r="K41" i="18"/>
  <c r="K40" i="18"/>
  <c r="K39" i="18"/>
  <c r="K38" i="18"/>
  <c r="K42" i="19"/>
  <c r="K41" i="19"/>
  <c r="K40" i="19"/>
  <c r="K39" i="19"/>
  <c r="K38" i="19"/>
  <c r="K42" i="20"/>
  <c r="K41" i="20"/>
  <c r="K40" i="20"/>
  <c r="K39" i="20"/>
  <c r="K38" i="20"/>
  <c r="K42" i="21"/>
  <c r="K41" i="21"/>
  <c r="K40" i="21"/>
  <c r="K39" i="21"/>
  <c r="K38" i="21"/>
  <c r="K42" i="22"/>
  <c r="K41" i="22"/>
  <c r="K40" i="22"/>
  <c r="K39" i="22"/>
  <c r="K38" i="22"/>
  <c r="K42" i="23"/>
  <c r="K41" i="23"/>
  <c r="K40" i="23"/>
  <c r="K39" i="23"/>
  <c r="K38" i="23"/>
  <c r="K42" i="24"/>
  <c r="K41" i="24"/>
  <c r="K40" i="24"/>
  <c r="K39" i="24"/>
  <c r="K38" i="24"/>
  <c r="K42" i="2"/>
  <c r="K41" i="2"/>
  <c r="K40" i="2"/>
  <c r="K39" i="2"/>
  <c r="K38" i="2"/>
  <c r="K30" i="3"/>
  <c r="K30" i="4"/>
  <c r="K30" i="5"/>
  <c r="K30" i="6"/>
  <c r="K30" i="7"/>
  <c r="K30" i="8"/>
  <c r="K30" i="9"/>
  <c r="K30" i="10"/>
  <c r="K30" i="11"/>
  <c r="K30" i="12"/>
  <c r="K30" i="13"/>
  <c r="K30" i="14"/>
  <c r="K30" i="15"/>
  <c r="K30" i="16"/>
  <c r="K30" i="17"/>
  <c r="K30" i="18"/>
  <c r="K30" i="19"/>
  <c r="K30" i="20"/>
  <c r="K30" i="21"/>
  <c r="K30" i="22"/>
  <c r="K30" i="23"/>
  <c r="K30" i="24"/>
  <c r="K30" i="2"/>
  <c r="K31" i="3"/>
  <c r="K29" i="3"/>
  <c r="K31" i="4"/>
  <c r="K29" i="4"/>
  <c r="K31" i="5"/>
  <c r="K29" i="5"/>
  <c r="K31" i="6"/>
  <c r="K29" i="6"/>
  <c r="K31" i="7"/>
  <c r="K29" i="7"/>
  <c r="K31" i="8"/>
  <c r="K29" i="8"/>
  <c r="K31" i="9"/>
  <c r="K29" i="9"/>
  <c r="K31" i="10"/>
  <c r="K29" i="10"/>
  <c r="K31" i="11"/>
  <c r="K29" i="11"/>
  <c r="K31" i="12"/>
  <c r="K29" i="12"/>
  <c r="K31" i="13"/>
  <c r="K29" i="13"/>
  <c r="K31" i="14"/>
  <c r="K29" i="14"/>
  <c r="K31" i="15"/>
  <c r="K29" i="15"/>
  <c r="K31" i="16"/>
  <c r="K29" i="16"/>
  <c r="K31" i="17"/>
  <c r="K29" i="17"/>
  <c r="K31" i="18"/>
  <c r="K29" i="18"/>
  <c r="K31" i="19"/>
  <c r="K29" i="19"/>
  <c r="K31" i="20"/>
  <c r="K29" i="20"/>
  <c r="K31" i="21"/>
  <c r="K29" i="21"/>
  <c r="K31" i="22"/>
  <c r="K29" i="22"/>
  <c r="K31" i="23"/>
  <c r="K29" i="23"/>
  <c r="K31" i="24"/>
  <c r="K29" i="24"/>
  <c r="K31" i="2"/>
  <c r="K29" i="2"/>
  <c r="K21" i="3"/>
  <c r="K21" i="4"/>
  <c r="K21" i="5"/>
  <c r="K21" i="6"/>
  <c r="K21" i="7"/>
  <c r="K21" i="8"/>
  <c r="K21" i="9"/>
  <c r="K21" i="10"/>
  <c r="K21" i="11"/>
  <c r="K21" i="12"/>
  <c r="K21" i="13"/>
  <c r="K21" i="14"/>
  <c r="K21" i="15"/>
  <c r="K21" i="16"/>
  <c r="K21" i="17"/>
  <c r="K21" i="18"/>
  <c r="K21" i="19"/>
  <c r="K21" i="20"/>
  <c r="K21" i="21"/>
  <c r="K21" i="22"/>
  <c r="K21" i="23"/>
  <c r="K21" i="24"/>
  <c r="K21" i="2"/>
  <c r="H31" i="3"/>
  <c r="H30" i="3"/>
  <c r="H29" i="3"/>
  <c r="H31" i="4"/>
  <c r="H30" i="4"/>
  <c r="H29" i="4"/>
  <c r="H31" i="5"/>
  <c r="H30" i="5"/>
  <c r="H29" i="5"/>
  <c r="H31" i="6"/>
  <c r="H30" i="6"/>
  <c r="H29" i="6"/>
  <c r="H31" i="7"/>
  <c r="H30" i="7"/>
  <c r="H29" i="7"/>
  <c r="H31" i="8"/>
  <c r="H30" i="8"/>
  <c r="H29" i="8"/>
  <c r="H31" i="9"/>
  <c r="H30" i="9"/>
  <c r="H29" i="9"/>
  <c r="H31" i="10"/>
  <c r="H30" i="10"/>
  <c r="H29" i="10"/>
  <c r="H31" i="11"/>
  <c r="H30" i="11"/>
  <c r="H29" i="11"/>
  <c r="H31" i="12"/>
  <c r="H30" i="12"/>
  <c r="H29" i="12"/>
  <c r="H31" i="13"/>
  <c r="H30" i="13"/>
  <c r="H29" i="13"/>
  <c r="H31" i="14"/>
  <c r="H30" i="14"/>
  <c r="H29" i="14"/>
  <c r="H31" i="15"/>
  <c r="H30" i="15"/>
  <c r="H29" i="15"/>
  <c r="H31" i="16"/>
  <c r="H30" i="16"/>
  <c r="H29" i="16"/>
  <c r="H31" i="17"/>
  <c r="H30" i="17"/>
  <c r="H29" i="17"/>
  <c r="H31" i="18"/>
  <c r="H30" i="18"/>
  <c r="H29" i="18"/>
  <c r="H31" i="19"/>
  <c r="H30" i="19"/>
  <c r="H29" i="19"/>
  <c r="H31" i="20"/>
  <c r="H30" i="20"/>
  <c r="H29" i="20"/>
  <c r="H31" i="21"/>
  <c r="H30" i="21"/>
  <c r="H29" i="21"/>
  <c r="H31" i="22"/>
  <c r="H30" i="22"/>
  <c r="H29" i="22"/>
  <c r="H31" i="23"/>
  <c r="H30" i="23"/>
  <c r="H29" i="23"/>
  <c r="H31" i="24"/>
  <c r="H30" i="24"/>
  <c r="H29" i="24"/>
  <c r="H31" i="2"/>
  <c r="H30" i="2"/>
  <c r="H29" i="2"/>
  <c r="H21" i="3"/>
  <c r="H21" i="4"/>
  <c r="H21" i="5"/>
  <c r="H21" i="6"/>
  <c r="H21" i="7"/>
  <c r="H21" i="8"/>
  <c r="H21" i="9"/>
  <c r="H21" i="10"/>
  <c r="H21" i="11"/>
  <c r="H21" i="12"/>
  <c r="H21" i="13"/>
  <c r="H21" i="14"/>
  <c r="H21" i="15"/>
  <c r="H21" i="16"/>
  <c r="H21" i="17"/>
  <c r="H21" i="18"/>
  <c r="H21" i="19"/>
  <c r="H21" i="20"/>
  <c r="H21" i="21"/>
  <c r="H21" i="22"/>
  <c r="H21" i="23"/>
  <c r="H21" i="24"/>
  <c r="H21" i="2"/>
  <c r="R42" i="24" l="1"/>
  <c r="R40" i="21"/>
  <c r="R39" i="12"/>
  <c r="R41" i="11"/>
  <c r="R29" i="11"/>
  <c r="R21" i="23"/>
  <c r="R38" i="23"/>
  <c r="R42" i="23"/>
  <c r="R39" i="24"/>
  <c r="R41" i="21"/>
  <c r="R39" i="18"/>
  <c r="R31" i="17"/>
  <c r="R41" i="15"/>
  <c r="R39" i="4"/>
  <c r="R41" i="3"/>
  <c r="R41" i="5"/>
  <c r="R31" i="20"/>
  <c r="R29" i="14"/>
  <c r="R31" i="12"/>
  <c r="R31" i="8"/>
  <c r="R29" i="23"/>
  <c r="R38" i="2"/>
  <c r="R42" i="2"/>
  <c r="R21" i="21"/>
  <c r="R31" i="24"/>
  <c r="R29" i="22"/>
  <c r="R29" i="18"/>
  <c r="R31" i="2"/>
  <c r="R30" i="2"/>
  <c r="R21" i="2"/>
  <c r="R29" i="2"/>
  <c r="M31" i="1"/>
  <c r="M30" i="1"/>
  <c r="M29" i="1"/>
  <c r="M28" i="1"/>
  <c r="M27" i="1"/>
  <c r="M26" i="1"/>
  <c r="M25" i="1"/>
  <c r="M23" i="1"/>
  <c r="M22" i="1"/>
  <c r="M21" i="1"/>
  <c r="M20" i="1"/>
  <c r="M19" i="1"/>
  <c r="M18" i="1"/>
  <c r="J38" i="1"/>
  <c r="Q38" i="1" s="1"/>
  <c r="J21" i="1"/>
  <c r="J31" i="1"/>
  <c r="J30" i="1"/>
  <c r="J29" i="1"/>
  <c r="G15" i="1"/>
  <c r="G21" i="1"/>
  <c r="G16" i="1"/>
  <c r="L32" i="1"/>
  <c r="L31" i="1"/>
  <c r="L30" i="1"/>
  <c r="L29" i="1"/>
  <c r="L28" i="1"/>
  <c r="L27" i="1"/>
  <c r="L26" i="1"/>
  <c r="L25" i="1"/>
  <c r="L23" i="1"/>
  <c r="L22" i="1"/>
  <c r="L21" i="1"/>
  <c r="L20" i="1"/>
  <c r="L19" i="1"/>
  <c r="L18" i="1"/>
  <c r="L16" i="1"/>
  <c r="L15" i="1"/>
  <c r="I16" i="1"/>
  <c r="I15" i="1"/>
  <c r="I43" i="1"/>
  <c r="I42" i="1"/>
  <c r="I41" i="1"/>
  <c r="I40" i="1"/>
  <c r="I39" i="1"/>
  <c r="I38" i="1"/>
  <c r="I37" i="1"/>
  <c r="P37" i="1" s="1"/>
  <c r="R37" i="1" s="1"/>
  <c r="I36" i="1"/>
  <c r="P36" i="1" s="1"/>
  <c r="R36" i="1" s="1"/>
  <c r="I35" i="1"/>
  <c r="P35" i="1" s="1"/>
  <c r="I34" i="1"/>
  <c r="P34" i="1" s="1"/>
  <c r="F32" i="1"/>
  <c r="F31" i="1"/>
  <c r="H31" i="1" s="1"/>
  <c r="F30" i="1"/>
  <c r="F29" i="1"/>
  <c r="H29" i="1" s="1"/>
  <c r="F28" i="1"/>
  <c r="F27" i="1"/>
  <c r="F26" i="1"/>
  <c r="F25" i="1"/>
  <c r="I26" i="1"/>
  <c r="I27" i="1"/>
  <c r="I28" i="1"/>
  <c r="I29" i="1"/>
  <c r="K29" i="1" s="1"/>
  <c r="I30" i="1"/>
  <c r="I31" i="1"/>
  <c r="I19" i="1"/>
  <c r="I20" i="1"/>
  <c r="I21" i="1"/>
  <c r="I22" i="1"/>
  <c r="F21" i="1"/>
  <c r="K30" i="1" l="1"/>
  <c r="K21" i="1"/>
  <c r="K31" i="1"/>
  <c r="N29" i="1"/>
  <c r="Q31" i="1"/>
  <c r="Q29" i="1"/>
  <c r="Q30" i="1"/>
  <c r="N31" i="1"/>
  <c r="N30" i="1"/>
  <c r="N21" i="1"/>
  <c r="Q21" i="1"/>
  <c r="K43" i="1"/>
  <c r="P43" i="1"/>
  <c r="K42" i="1"/>
  <c r="P42" i="1"/>
  <c r="R42" i="1" s="1"/>
  <c r="K41" i="1"/>
  <c r="P41" i="1"/>
  <c r="R41" i="1" s="1"/>
  <c r="K40" i="1"/>
  <c r="P40" i="1"/>
  <c r="R40" i="1" s="1"/>
  <c r="K39" i="1"/>
  <c r="P39" i="1"/>
  <c r="R39" i="1" s="1"/>
  <c r="K38" i="1"/>
  <c r="P38" i="1"/>
  <c r="R38" i="1" s="1"/>
  <c r="P21" i="1"/>
  <c r="H21" i="1"/>
  <c r="P30" i="1"/>
  <c r="P31" i="1"/>
  <c r="H30" i="1"/>
  <c r="P29" i="1"/>
  <c r="F10" i="1"/>
  <c r="I10" i="1"/>
  <c r="L10" i="1"/>
  <c r="R30" i="1" l="1"/>
  <c r="R29" i="1"/>
  <c r="R31" i="1"/>
  <c r="R21" i="1"/>
  <c r="I14" i="8"/>
  <c r="J14" i="8"/>
  <c r="K15" i="8"/>
  <c r="K16" i="8"/>
  <c r="I17" i="8"/>
  <c r="J17" i="8"/>
  <c r="K18" i="8"/>
  <c r="K19" i="8"/>
  <c r="K20" i="8"/>
  <c r="K22" i="8"/>
  <c r="K23" i="8"/>
  <c r="I24" i="8"/>
  <c r="J24" i="8"/>
  <c r="K25" i="8"/>
  <c r="K26" i="8"/>
  <c r="K14" i="8" l="1"/>
  <c r="K17" i="8"/>
  <c r="F64" i="22"/>
  <c r="E64" i="22"/>
  <c r="D64" i="22"/>
  <c r="F63" i="22"/>
  <c r="E63" i="22"/>
  <c r="D63" i="22"/>
  <c r="D65" i="22" l="1"/>
  <c r="E65" i="22"/>
  <c r="F65" i="22"/>
  <c r="N33" i="1"/>
  <c r="R34" i="1"/>
  <c r="R35" i="1"/>
  <c r="R43" i="1"/>
  <c r="R34" i="3"/>
  <c r="R35" i="3"/>
  <c r="R36" i="3"/>
  <c r="R37" i="3"/>
  <c r="R43" i="3"/>
  <c r="R34" i="4"/>
  <c r="R35" i="4"/>
  <c r="R36" i="4"/>
  <c r="R37" i="4"/>
  <c r="R43" i="4"/>
  <c r="R34" i="5"/>
  <c r="R35" i="5"/>
  <c r="R36" i="5"/>
  <c r="R37" i="5"/>
  <c r="R43" i="5"/>
  <c r="R34" i="6"/>
  <c r="R35" i="6"/>
  <c r="R36" i="6"/>
  <c r="R37" i="6"/>
  <c r="R43" i="6"/>
  <c r="R34" i="7"/>
  <c r="R35" i="7"/>
  <c r="R36" i="7"/>
  <c r="R37" i="7"/>
  <c r="R43" i="7"/>
  <c r="R34" i="8"/>
  <c r="R35" i="8"/>
  <c r="R36" i="8"/>
  <c r="R37" i="8"/>
  <c r="R43" i="8"/>
  <c r="R34" i="9"/>
  <c r="R35" i="9"/>
  <c r="R36" i="9"/>
  <c r="R37" i="9"/>
  <c r="R43" i="9"/>
  <c r="R34" i="10"/>
  <c r="R35" i="10"/>
  <c r="R36" i="10"/>
  <c r="R37" i="10"/>
  <c r="R43" i="10"/>
  <c r="R34" i="11"/>
  <c r="R35" i="11"/>
  <c r="R36" i="11"/>
  <c r="R37" i="11"/>
  <c r="R43" i="11"/>
  <c r="R34" i="12"/>
  <c r="R35" i="12"/>
  <c r="R36" i="12"/>
  <c r="R37" i="12"/>
  <c r="R43" i="12"/>
  <c r="R34" i="13"/>
  <c r="R35" i="13"/>
  <c r="R36" i="13"/>
  <c r="R37" i="13"/>
  <c r="R43" i="13"/>
  <c r="R34" i="14"/>
  <c r="R35" i="14"/>
  <c r="R36" i="14"/>
  <c r="R37" i="14"/>
  <c r="R43" i="14"/>
  <c r="R34" i="15"/>
  <c r="R35" i="15"/>
  <c r="R36" i="15"/>
  <c r="R37" i="15"/>
  <c r="R43" i="15"/>
  <c r="R34" i="16"/>
  <c r="R35" i="16"/>
  <c r="R36" i="16"/>
  <c r="R37" i="16"/>
  <c r="R43" i="16"/>
  <c r="R34" i="17"/>
  <c r="R35" i="17"/>
  <c r="R36" i="17"/>
  <c r="R37" i="17"/>
  <c r="R43" i="17"/>
  <c r="R34" i="18"/>
  <c r="R35" i="18"/>
  <c r="R36" i="18"/>
  <c r="R37" i="18"/>
  <c r="R43" i="18"/>
  <c r="R34" i="19"/>
  <c r="R35" i="19"/>
  <c r="R36" i="19"/>
  <c r="R37" i="19"/>
  <c r="R43" i="19"/>
  <c r="R34" i="20"/>
  <c r="R35" i="20"/>
  <c r="R36" i="20"/>
  <c r="R37" i="20"/>
  <c r="R43" i="20"/>
  <c r="R34" i="21"/>
  <c r="R35" i="21"/>
  <c r="R36" i="21"/>
  <c r="R37" i="21"/>
  <c r="R43" i="21"/>
  <c r="R34" i="22"/>
  <c r="R35" i="22"/>
  <c r="R36" i="22"/>
  <c r="R37" i="22"/>
  <c r="R43" i="22"/>
  <c r="R34" i="23"/>
  <c r="R35" i="23"/>
  <c r="R36" i="23"/>
  <c r="R37" i="23"/>
  <c r="R43" i="23"/>
  <c r="R34" i="24"/>
  <c r="R35" i="24"/>
  <c r="R36" i="24"/>
  <c r="R37" i="24"/>
  <c r="R43" i="24"/>
  <c r="R34" i="2"/>
  <c r="R35" i="2"/>
  <c r="R36" i="2"/>
  <c r="R37" i="2"/>
  <c r="R43" i="2"/>
  <c r="K34" i="3"/>
  <c r="K35" i="3"/>
  <c r="K36" i="3"/>
  <c r="K37" i="3"/>
  <c r="K43" i="3"/>
  <c r="K34" i="4"/>
  <c r="K35" i="4"/>
  <c r="K36" i="4"/>
  <c r="K37" i="4"/>
  <c r="K43" i="4"/>
  <c r="K34" i="5"/>
  <c r="K35" i="5"/>
  <c r="K36" i="5"/>
  <c r="K37" i="5"/>
  <c r="K43" i="5"/>
  <c r="K34" i="6"/>
  <c r="K35" i="6"/>
  <c r="K36" i="6"/>
  <c r="K37" i="6"/>
  <c r="K43" i="6"/>
  <c r="K34" i="7"/>
  <c r="K35" i="7"/>
  <c r="K36" i="7"/>
  <c r="K37" i="7"/>
  <c r="K43" i="7"/>
  <c r="K34" i="8"/>
  <c r="K35" i="8"/>
  <c r="K36" i="8"/>
  <c r="K37" i="8"/>
  <c r="K43" i="8"/>
  <c r="K34" i="9"/>
  <c r="K35" i="9"/>
  <c r="K36" i="9"/>
  <c r="K37" i="9"/>
  <c r="K43" i="9"/>
  <c r="K34" i="10"/>
  <c r="K35" i="10"/>
  <c r="K36" i="10"/>
  <c r="K37" i="10"/>
  <c r="K43" i="10"/>
  <c r="K34" i="11"/>
  <c r="K35" i="11"/>
  <c r="K36" i="11"/>
  <c r="K37" i="11"/>
  <c r="K43" i="11"/>
  <c r="K34" i="12"/>
  <c r="K35" i="12"/>
  <c r="K36" i="12"/>
  <c r="K37" i="12"/>
  <c r="K43" i="12"/>
  <c r="K34" i="13"/>
  <c r="K35" i="13"/>
  <c r="K36" i="13"/>
  <c r="K37" i="13"/>
  <c r="K43" i="13"/>
  <c r="K34" i="14"/>
  <c r="K35" i="14"/>
  <c r="K36" i="14"/>
  <c r="K37" i="14"/>
  <c r="K43" i="14"/>
  <c r="K34" i="15"/>
  <c r="K35" i="15"/>
  <c r="K36" i="15"/>
  <c r="K37" i="15"/>
  <c r="K43" i="15"/>
  <c r="K34" i="16"/>
  <c r="K35" i="16"/>
  <c r="K36" i="16"/>
  <c r="K37" i="16"/>
  <c r="K43" i="16"/>
  <c r="K34" i="17"/>
  <c r="K35" i="17"/>
  <c r="K36" i="17"/>
  <c r="K37" i="17"/>
  <c r="K43" i="17"/>
  <c r="K34" i="18"/>
  <c r="K35" i="18"/>
  <c r="K36" i="18"/>
  <c r="K37" i="18"/>
  <c r="K43" i="18"/>
  <c r="K34" i="19"/>
  <c r="K35" i="19"/>
  <c r="K36" i="19"/>
  <c r="K37" i="19"/>
  <c r="K43" i="19"/>
  <c r="K34" i="20"/>
  <c r="K35" i="20"/>
  <c r="K36" i="20"/>
  <c r="K37" i="20"/>
  <c r="K43" i="20"/>
  <c r="K34" i="21"/>
  <c r="K35" i="21"/>
  <c r="K36" i="21"/>
  <c r="K37" i="21"/>
  <c r="K43" i="21"/>
  <c r="K34" i="22"/>
  <c r="K35" i="22"/>
  <c r="K36" i="22"/>
  <c r="K37" i="22"/>
  <c r="K43" i="22"/>
  <c r="K34" i="23"/>
  <c r="K35" i="23"/>
  <c r="K36" i="23"/>
  <c r="K37" i="23"/>
  <c r="K43" i="23"/>
  <c r="K34" i="24"/>
  <c r="K35" i="24"/>
  <c r="K36" i="24"/>
  <c r="K37" i="24"/>
  <c r="K43" i="24"/>
  <c r="K34" i="2"/>
  <c r="K35" i="2"/>
  <c r="K36" i="2"/>
  <c r="K37" i="2"/>
  <c r="K43" i="2"/>
  <c r="Q33" i="2"/>
  <c r="Q33" i="3"/>
  <c r="Q33" i="4"/>
  <c r="Q33" i="5"/>
  <c r="Q33" i="6"/>
  <c r="Q33" i="7"/>
  <c r="Q33" i="8"/>
  <c r="Q33" i="9"/>
  <c r="Q33" i="10"/>
  <c r="Q33" i="11"/>
  <c r="Q33" i="12"/>
  <c r="Q33" i="13"/>
  <c r="Q33" i="14"/>
  <c r="Q33" i="15"/>
  <c r="Q33" i="16"/>
  <c r="Q33" i="17"/>
  <c r="Q33" i="18"/>
  <c r="Q33" i="19"/>
  <c r="Q33" i="20"/>
  <c r="Q33" i="21"/>
  <c r="Q33" i="22"/>
  <c r="Q33" i="23"/>
  <c r="Q33" i="24"/>
  <c r="Q33" i="1"/>
  <c r="P33" i="2"/>
  <c r="P33" i="3"/>
  <c r="P33" i="4"/>
  <c r="P33" i="5"/>
  <c r="P33" i="6"/>
  <c r="P33" i="7"/>
  <c r="P33" i="8"/>
  <c r="P33" i="9"/>
  <c r="P33" i="10"/>
  <c r="P33" i="11"/>
  <c r="P33" i="12"/>
  <c r="P33" i="13"/>
  <c r="P33" i="14"/>
  <c r="P33" i="15"/>
  <c r="P33" i="16"/>
  <c r="P33" i="17"/>
  <c r="P33" i="18"/>
  <c r="P33" i="19"/>
  <c r="P33" i="20"/>
  <c r="P33" i="21"/>
  <c r="P33" i="22"/>
  <c r="P33" i="23"/>
  <c r="P33" i="24"/>
  <c r="P33" i="1"/>
  <c r="I33" i="2"/>
  <c r="J33" i="2"/>
  <c r="I33" i="3"/>
  <c r="J33" i="3"/>
  <c r="I33" i="4"/>
  <c r="J33" i="4"/>
  <c r="I33" i="5"/>
  <c r="J33" i="5"/>
  <c r="I33" i="6"/>
  <c r="J33" i="6"/>
  <c r="I33" i="7"/>
  <c r="J33" i="7"/>
  <c r="I33" i="8"/>
  <c r="J33" i="8"/>
  <c r="J44" i="8" s="1"/>
  <c r="J10" i="8" s="1"/>
  <c r="I33" i="9"/>
  <c r="J33" i="9"/>
  <c r="I33" i="10"/>
  <c r="J33" i="10"/>
  <c r="I33" i="11"/>
  <c r="J33" i="11"/>
  <c r="I33" i="12"/>
  <c r="J33" i="12"/>
  <c r="I33" i="13"/>
  <c r="J33" i="13"/>
  <c r="I33" i="14"/>
  <c r="J33" i="14"/>
  <c r="I33" i="15"/>
  <c r="J33" i="15"/>
  <c r="I33" i="16"/>
  <c r="J33" i="16"/>
  <c r="I33" i="17"/>
  <c r="J33" i="17"/>
  <c r="I33" i="18"/>
  <c r="J33" i="18"/>
  <c r="I33" i="19"/>
  <c r="J33" i="19"/>
  <c r="I33" i="20"/>
  <c r="J33" i="20"/>
  <c r="I33" i="21"/>
  <c r="J33" i="21"/>
  <c r="I33" i="22"/>
  <c r="J33" i="22"/>
  <c r="I33" i="23"/>
  <c r="J33" i="23"/>
  <c r="I33" i="24"/>
  <c r="J33" i="24"/>
  <c r="G33" i="1"/>
  <c r="J33" i="1"/>
  <c r="L33" i="1"/>
  <c r="M33" i="1"/>
  <c r="K33" i="21" l="1"/>
  <c r="R33" i="10"/>
  <c r="R33" i="1"/>
  <c r="K33" i="3"/>
  <c r="R33" i="4"/>
  <c r="R33" i="18"/>
  <c r="R33" i="16"/>
  <c r="R33" i="20"/>
  <c r="R33" i="21"/>
  <c r="R33" i="13"/>
  <c r="R33" i="9"/>
  <c r="R33" i="5"/>
  <c r="R33" i="14"/>
  <c r="R33" i="8"/>
  <c r="K33" i="12"/>
  <c r="K33" i="11"/>
  <c r="K33" i="5"/>
  <c r="K33" i="4"/>
  <c r="R33" i="23"/>
  <c r="R33" i="17"/>
  <c r="R33" i="12"/>
  <c r="R33" i="6"/>
  <c r="K33" i="17"/>
  <c r="K33" i="9"/>
  <c r="K33" i="7"/>
  <c r="R33" i="24"/>
  <c r="R33" i="22"/>
  <c r="R33" i="19"/>
  <c r="R33" i="15"/>
  <c r="R33" i="11"/>
  <c r="R33" i="7"/>
  <c r="R33" i="3"/>
  <c r="K33" i="20"/>
  <c r="R33" i="2"/>
  <c r="K33" i="2"/>
  <c r="K33" i="22"/>
  <c r="K33" i="23"/>
  <c r="K33" i="19"/>
  <c r="K33" i="24"/>
  <c r="K33" i="10"/>
  <c r="K33" i="8"/>
  <c r="K33" i="13"/>
  <c r="K33" i="6"/>
  <c r="K33" i="18"/>
  <c r="K33" i="16"/>
  <c r="K33" i="15"/>
  <c r="K33" i="14"/>
  <c r="N25" i="2" l="1"/>
  <c r="H18" i="10" l="1"/>
  <c r="H18" i="9"/>
  <c r="H18" i="8"/>
  <c r="H18" i="7"/>
  <c r="H18" i="4"/>
  <c r="H18" i="3"/>
  <c r="H18" i="5"/>
  <c r="N15" i="17" l="1"/>
  <c r="H18" i="12"/>
  <c r="H18" i="13"/>
  <c r="H18" i="14"/>
  <c r="H18" i="15"/>
  <c r="H18" i="16"/>
  <c r="H18" i="17"/>
  <c r="H18" i="18"/>
  <c r="H18" i="19"/>
  <c r="H18" i="20"/>
  <c r="H18" i="21"/>
  <c r="H18" i="22"/>
  <c r="H18" i="23"/>
  <c r="H18" i="24"/>
  <c r="H18" i="11"/>
  <c r="H18" i="6" l="1"/>
  <c r="H18" i="2" l="1"/>
  <c r="K15" i="5" l="1"/>
  <c r="M17" i="3" l="1"/>
  <c r="M17" i="4"/>
  <c r="M17" i="5"/>
  <c r="M17" i="6"/>
  <c r="M17" i="7"/>
  <c r="M17" i="8"/>
  <c r="M17" i="9"/>
  <c r="M17" i="10"/>
  <c r="M17" i="11"/>
  <c r="M17" i="12"/>
  <c r="M17" i="13"/>
  <c r="M17" i="14"/>
  <c r="M17" i="15"/>
  <c r="M17" i="16"/>
  <c r="M17" i="17"/>
  <c r="M17" i="18"/>
  <c r="M17" i="19"/>
  <c r="M17" i="20"/>
  <c r="M17" i="21"/>
  <c r="M17" i="22"/>
  <c r="M17" i="23"/>
  <c r="M17" i="24"/>
  <c r="M17" i="2"/>
  <c r="N18" i="3"/>
  <c r="N18" i="4"/>
  <c r="N18" i="5"/>
  <c r="N18" i="6"/>
  <c r="N18" i="7"/>
  <c r="N18" i="8"/>
  <c r="N18" i="9"/>
  <c r="N18" i="10"/>
  <c r="N18" i="11"/>
  <c r="N18" i="12"/>
  <c r="N18" i="13"/>
  <c r="N18" i="14"/>
  <c r="N18" i="15"/>
  <c r="N18" i="16"/>
  <c r="N18" i="17"/>
  <c r="N18" i="18"/>
  <c r="N18" i="19"/>
  <c r="N18" i="20"/>
  <c r="N18" i="21"/>
  <c r="N18" i="22"/>
  <c r="N18" i="23"/>
  <c r="N18" i="24"/>
  <c r="N18" i="2"/>
  <c r="H16" i="3"/>
  <c r="H16" i="4"/>
  <c r="H16" i="5"/>
  <c r="H16" i="6"/>
  <c r="H16" i="7"/>
  <c r="H16" i="8"/>
  <c r="H16" i="9"/>
  <c r="H16" i="10"/>
  <c r="H16" i="11"/>
  <c r="H16" i="12"/>
  <c r="H16" i="13"/>
  <c r="H16" i="14"/>
  <c r="H16" i="15"/>
  <c r="H16" i="16"/>
  <c r="H16" i="17"/>
  <c r="H16" i="18"/>
  <c r="H16" i="19"/>
  <c r="H16" i="20"/>
  <c r="H16" i="21"/>
  <c r="H16" i="22"/>
  <c r="H16" i="23"/>
  <c r="H16" i="24"/>
  <c r="H16" i="2"/>
  <c r="H15" i="3"/>
  <c r="H15" i="4"/>
  <c r="H15" i="5"/>
  <c r="H15" i="6"/>
  <c r="H15" i="7"/>
  <c r="H15" i="8"/>
  <c r="H15" i="9"/>
  <c r="H15" i="10"/>
  <c r="H15" i="11"/>
  <c r="H15" i="12"/>
  <c r="H15" i="13"/>
  <c r="H15" i="14"/>
  <c r="H15" i="15"/>
  <c r="H15" i="16"/>
  <c r="H15" i="17"/>
  <c r="H15" i="18"/>
  <c r="H15" i="19"/>
  <c r="H15" i="20"/>
  <c r="H15" i="21"/>
  <c r="H15" i="22"/>
  <c r="H15" i="23"/>
  <c r="H15" i="24"/>
  <c r="H15" i="2"/>
  <c r="G14" i="3"/>
  <c r="G14" i="4"/>
  <c r="G14" i="5"/>
  <c r="G14" i="6"/>
  <c r="G14" i="7"/>
  <c r="G14" i="8"/>
  <c r="G14" i="9"/>
  <c r="G14" i="10"/>
  <c r="G14" i="11"/>
  <c r="G14" i="12"/>
  <c r="G14" i="13"/>
  <c r="G14" i="14"/>
  <c r="G14" i="15"/>
  <c r="G14" i="16"/>
  <c r="G14" i="17"/>
  <c r="G14" i="18"/>
  <c r="G14" i="19"/>
  <c r="G14" i="20"/>
  <c r="G14" i="21"/>
  <c r="G14" i="22"/>
  <c r="G14" i="23"/>
  <c r="G14" i="24"/>
  <c r="G14" i="2"/>
  <c r="F17" i="3"/>
  <c r="F17" i="4"/>
  <c r="F17" i="5"/>
  <c r="F17" i="6"/>
  <c r="F17" i="7"/>
  <c r="F17" i="8"/>
  <c r="F17" i="9"/>
  <c r="F17" i="10"/>
  <c r="F17" i="11"/>
  <c r="F17" i="12"/>
  <c r="F17" i="13"/>
  <c r="V16" i="13" s="1"/>
  <c r="W17" i="13" s="1"/>
  <c r="F17" i="14"/>
  <c r="F17" i="15"/>
  <c r="F17" i="16"/>
  <c r="F17" i="17"/>
  <c r="F17" i="18"/>
  <c r="F17" i="19"/>
  <c r="F17" i="20"/>
  <c r="F17" i="21"/>
  <c r="V16" i="21" s="1"/>
  <c r="W17" i="21" s="1"/>
  <c r="F17" i="22"/>
  <c r="V16" i="22" s="1"/>
  <c r="W17" i="22" s="1"/>
  <c r="F17" i="23"/>
  <c r="F17" i="24"/>
  <c r="F17" i="2"/>
  <c r="F14" i="3"/>
  <c r="F14" i="4"/>
  <c r="F14" i="5"/>
  <c r="F14" i="6"/>
  <c r="F14" i="7"/>
  <c r="F14" i="8"/>
  <c r="F14" i="9"/>
  <c r="F14" i="10"/>
  <c r="F14" i="11"/>
  <c r="F14" i="12"/>
  <c r="F14" i="13"/>
  <c r="F14" i="14"/>
  <c r="F14" i="15"/>
  <c r="F14" i="16"/>
  <c r="F14" i="17"/>
  <c r="F14" i="18"/>
  <c r="F14" i="19"/>
  <c r="F14" i="20"/>
  <c r="F14" i="21"/>
  <c r="F14" i="22"/>
  <c r="G13" i="22" s="1"/>
  <c r="F14" i="23"/>
  <c r="F14" i="24"/>
  <c r="F14" i="2"/>
  <c r="P10" i="3"/>
  <c r="P10" i="4"/>
  <c r="P10" i="5"/>
  <c r="P10" i="6"/>
  <c r="P10" i="7"/>
  <c r="P10" i="8"/>
  <c r="P10" i="9"/>
  <c r="P10" i="10"/>
  <c r="P10" i="11"/>
  <c r="P10" i="12"/>
  <c r="P10" i="13"/>
  <c r="P10" i="14"/>
  <c r="P10" i="15"/>
  <c r="P10" i="16"/>
  <c r="P10" i="17"/>
  <c r="P10" i="18"/>
  <c r="P10" i="19"/>
  <c r="P10" i="20"/>
  <c r="P10" i="21"/>
  <c r="P10" i="22"/>
  <c r="P10" i="23"/>
  <c r="P10" i="24"/>
  <c r="P10" i="2"/>
  <c r="M32" i="1"/>
  <c r="M16" i="1"/>
  <c r="M15" i="1"/>
  <c r="J26" i="1"/>
  <c r="J27" i="1"/>
  <c r="K27" i="1" s="1"/>
  <c r="J28" i="1"/>
  <c r="J32" i="1"/>
  <c r="J25" i="1"/>
  <c r="J19" i="1"/>
  <c r="J20" i="1"/>
  <c r="J22" i="1"/>
  <c r="J23" i="1"/>
  <c r="J18" i="1"/>
  <c r="J16" i="1"/>
  <c r="G26" i="1"/>
  <c r="G27" i="1"/>
  <c r="G28" i="1"/>
  <c r="G32" i="1"/>
  <c r="G25" i="1"/>
  <c r="G19" i="1"/>
  <c r="G20" i="1"/>
  <c r="G22" i="1"/>
  <c r="G23" i="1"/>
  <c r="G18" i="1"/>
  <c r="H14" i="22" l="1"/>
  <c r="G24" i="1"/>
  <c r="Q28" i="1"/>
  <c r="H28" i="1"/>
  <c r="G44" i="23"/>
  <c r="G10" i="23" s="1"/>
  <c r="G44" i="19"/>
  <c r="G10" i="19" s="1"/>
  <c r="G44" i="15"/>
  <c r="G10" i="15" s="1"/>
  <c r="G44" i="11"/>
  <c r="G10" i="11" s="1"/>
  <c r="G44" i="7"/>
  <c r="G10" i="7" s="1"/>
  <c r="G44" i="3"/>
  <c r="G10" i="3" s="1"/>
  <c r="G44" i="22"/>
  <c r="G10" i="22" s="1"/>
  <c r="G44" i="18"/>
  <c r="G10" i="18" s="1"/>
  <c r="G44" i="14"/>
  <c r="G10" i="14" s="1"/>
  <c r="G44" i="10"/>
  <c r="G10" i="10" s="1"/>
  <c r="G44" i="6"/>
  <c r="G10" i="6" s="1"/>
  <c r="G44" i="2"/>
  <c r="G10" i="2" s="1"/>
  <c r="G44" i="21"/>
  <c r="G10" i="21" s="1"/>
  <c r="G44" i="17"/>
  <c r="G10" i="17" s="1"/>
  <c r="G44" i="13"/>
  <c r="G10" i="13" s="1"/>
  <c r="G44" i="9"/>
  <c r="G10" i="9" s="1"/>
  <c r="G44" i="5"/>
  <c r="G10" i="5" s="1"/>
  <c r="G44" i="24"/>
  <c r="G10" i="24" s="1"/>
  <c r="G44" i="20"/>
  <c r="G10" i="20" s="1"/>
  <c r="G44" i="16"/>
  <c r="G10" i="16" s="1"/>
  <c r="G44" i="12"/>
  <c r="G10" i="12" s="1"/>
  <c r="G44" i="8"/>
  <c r="G10" i="8" s="1"/>
  <c r="H14" i="15"/>
  <c r="H14" i="5"/>
  <c r="H14" i="13"/>
  <c r="H14" i="11"/>
  <c r="H14" i="9"/>
  <c r="H14" i="7"/>
  <c r="G44" i="4"/>
  <c r="G10" i="4" s="1"/>
  <c r="H14" i="24"/>
  <c r="H14" i="14"/>
  <c r="H14" i="10"/>
  <c r="H14" i="8"/>
  <c r="H14" i="20"/>
  <c r="H14" i="18"/>
  <c r="H14" i="16"/>
  <c r="H14" i="4"/>
  <c r="H14" i="23"/>
  <c r="H14" i="21"/>
  <c r="H14" i="2"/>
  <c r="H14" i="19"/>
  <c r="H14" i="17"/>
  <c r="H14" i="12"/>
  <c r="H14" i="6"/>
  <c r="H14" i="3"/>
  <c r="Q23" i="1"/>
  <c r="Q27" i="1"/>
  <c r="Q22" i="1"/>
  <c r="Q26" i="1"/>
  <c r="Q19" i="1"/>
  <c r="Q25" i="1"/>
  <c r="Q32" i="1"/>
  <c r="Q20" i="1"/>
  <c r="Q18" i="1"/>
  <c r="Q16" i="1"/>
  <c r="Q15" i="1"/>
  <c r="Q32" i="3"/>
  <c r="Q32" i="4"/>
  <c r="Q32" i="5"/>
  <c r="Q32" i="6"/>
  <c r="Q32" i="7"/>
  <c r="Q32" i="8"/>
  <c r="Q32" i="9"/>
  <c r="Q32" i="10"/>
  <c r="Q32" i="11"/>
  <c r="Q32" i="12"/>
  <c r="Q32" i="13"/>
  <c r="Q32" i="14"/>
  <c r="Q32" i="15"/>
  <c r="Q32" i="16"/>
  <c r="Q32" i="17"/>
  <c r="Q32" i="18"/>
  <c r="Q32" i="19"/>
  <c r="Q32" i="20"/>
  <c r="Q32" i="21"/>
  <c r="Q32" i="22"/>
  <c r="Q32" i="23"/>
  <c r="Q32" i="24"/>
  <c r="Q32" i="2"/>
  <c r="Q26" i="3"/>
  <c r="Q26" i="4"/>
  <c r="Q26" i="5"/>
  <c r="Q26" i="6"/>
  <c r="Q26" i="7"/>
  <c r="Q26" i="8"/>
  <c r="Q26" i="9"/>
  <c r="Q26" i="10"/>
  <c r="Q26" i="11"/>
  <c r="Q26" i="12"/>
  <c r="Q26" i="13"/>
  <c r="Q26" i="14"/>
  <c r="Q26" i="15"/>
  <c r="Q26" i="16"/>
  <c r="Q26" i="17"/>
  <c r="Q26" i="18"/>
  <c r="Q26" i="19"/>
  <c r="Q26" i="20"/>
  <c r="Q26" i="21"/>
  <c r="Q26" i="22"/>
  <c r="Q26" i="23"/>
  <c r="Q26" i="24"/>
  <c r="Q26" i="2"/>
  <c r="Q25" i="3"/>
  <c r="Q25" i="4"/>
  <c r="Q25" i="5"/>
  <c r="Q25" i="6"/>
  <c r="Q25" i="7"/>
  <c r="Q25" i="8"/>
  <c r="Q25" i="9"/>
  <c r="Q25" i="10"/>
  <c r="Q25" i="11"/>
  <c r="Q25" i="12"/>
  <c r="Q25" i="13"/>
  <c r="Q25" i="14"/>
  <c r="Q25" i="15"/>
  <c r="Q25" i="16"/>
  <c r="Q25" i="17"/>
  <c r="Q25" i="18"/>
  <c r="Q25" i="19"/>
  <c r="Q25" i="20"/>
  <c r="Q25" i="21"/>
  <c r="Q25" i="22"/>
  <c r="Q25" i="23"/>
  <c r="Q25" i="24"/>
  <c r="Q25" i="2"/>
  <c r="Q23" i="3"/>
  <c r="Q23" i="4"/>
  <c r="Q23" i="5"/>
  <c r="Q23" i="6"/>
  <c r="Q23" i="7"/>
  <c r="Q23" i="8"/>
  <c r="Q23" i="9"/>
  <c r="Q23" i="10"/>
  <c r="Q23" i="11"/>
  <c r="Q23" i="12"/>
  <c r="Q23" i="13"/>
  <c r="Q23" i="14"/>
  <c r="Q23" i="15"/>
  <c r="Q23" i="16"/>
  <c r="Q23" i="17"/>
  <c r="Q23" i="18"/>
  <c r="Q23" i="19"/>
  <c r="Q23" i="20"/>
  <c r="Q23" i="21"/>
  <c r="Q23" i="22"/>
  <c r="Q23" i="23"/>
  <c r="Q23" i="24"/>
  <c r="Q23" i="2"/>
  <c r="Q20" i="3"/>
  <c r="Q20" i="4"/>
  <c r="Q20" i="5"/>
  <c r="Q20" i="6"/>
  <c r="Q20" i="7"/>
  <c r="Q20" i="8"/>
  <c r="Q20" i="9"/>
  <c r="Q20" i="10"/>
  <c r="Q20" i="11"/>
  <c r="Q20" i="12"/>
  <c r="Q20" i="13"/>
  <c r="Q20" i="14"/>
  <c r="Q20" i="15"/>
  <c r="Q20" i="16"/>
  <c r="Q20" i="17"/>
  <c r="Q20" i="18"/>
  <c r="Q20" i="19"/>
  <c r="Q20" i="20"/>
  <c r="Q20" i="21"/>
  <c r="Q20" i="22"/>
  <c r="Q20" i="23"/>
  <c r="Q20" i="24"/>
  <c r="Q20" i="2"/>
  <c r="Q19" i="3"/>
  <c r="Q19" i="4"/>
  <c r="Q19" i="5"/>
  <c r="Q19" i="6"/>
  <c r="Q19" i="7"/>
  <c r="Q19" i="8"/>
  <c r="Q19" i="9"/>
  <c r="Q19" i="10"/>
  <c r="Q19" i="11"/>
  <c r="Q19" i="12"/>
  <c r="Q19" i="13"/>
  <c r="Q19" i="14"/>
  <c r="Q19" i="15"/>
  <c r="Q19" i="16"/>
  <c r="Q19" i="17"/>
  <c r="Q19" i="18"/>
  <c r="Q19" i="19"/>
  <c r="Q19" i="20"/>
  <c r="Q19" i="21"/>
  <c r="Q19" i="22"/>
  <c r="Q19" i="23"/>
  <c r="Q19" i="24"/>
  <c r="Q19" i="2"/>
  <c r="Q18" i="3"/>
  <c r="Q18" i="4"/>
  <c r="Q18" i="5"/>
  <c r="Q18" i="6"/>
  <c r="Q18" i="7"/>
  <c r="Q18" i="8"/>
  <c r="Q18" i="9"/>
  <c r="Q18" i="10"/>
  <c r="Q18" i="11"/>
  <c r="Q18" i="12"/>
  <c r="Q18" i="13"/>
  <c r="Q18" i="14"/>
  <c r="Q18" i="15"/>
  <c r="Q18" i="16"/>
  <c r="Q18" i="17"/>
  <c r="Q18" i="18"/>
  <c r="Q18" i="19"/>
  <c r="Q18" i="20"/>
  <c r="Q18" i="21"/>
  <c r="Q18" i="22"/>
  <c r="Q18" i="23"/>
  <c r="Q18" i="24"/>
  <c r="Q18" i="2"/>
  <c r="Q16" i="3"/>
  <c r="Q16" i="4"/>
  <c r="Q16" i="5"/>
  <c r="Q16" i="6"/>
  <c r="Q16" i="7"/>
  <c r="Q16" i="8"/>
  <c r="Q16" i="9"/>
  <c r="Q16" i="10"/>
  <c r="Q16" i="11"/>
  <c r="Q16" i="12"/>
  <c r="Q16" i="13"/>
  <c r="Q16" i="14"/>
  <c r="Q16" i="15"/>
  <c r="Q16" i="16"/>
  <c r="Q16" i="17"/>
  <c r="Q16" i="18"/>
  <c r="Q16" i="19"/>
  <c r="Q16" i="20"/>
  <c r="Q16" i="21"/>
  <c r="Q16" i="22"/>
  <c r="Q16" i="23"/>
  <c r="Q16" i="24"/>
  <c r="Q16" i="2"/>
  <c r="Q15" i="3"/>
  <c r="Q15" i="4"/>
  <c r="Q15" i="5"/>
  <c r="Q15" i="6"/>
  <c r="Q15" i="7"/>
  <c r="Q15" i="8"/>
  <c r="Q15" i="9"/>
  <c r="Q15" i="10"/>
  <c r="Q15" i="11"/>
  <c r="Q15" i="12"/>
  <c r="Q15" i="13"/>
  <c r="Q15" i="14"/>
  <c r="Q15" i="15"/>
  <c r="Q15" i="16"/>
  <c r="Q15" i="17"/>
  <c r="Q15" i="18"/>
  <c r="Q15" i="19"/>
  <c r="Q15" i="20"/>
  <c r="Q15" i="21"/>
  <c r="Q15" i="22"/>
  <c r="Q15" i="23"/>
  <c r="Q15" i="24"/>
  <c r="Q15" i="2"/>
  <c r="P32" i="2"/>
  <c r="P32" i="3"/>
  <c r="P28" i="2"/>
  <c r="R28" i="2" s="1"/>
  <c r="P28" i="3"/>
  <c r="R28" i="3" s="1"/>
  <c r="P27" i="2"/>
  <c r="R27" i="2" s="1"/>
  <c r="P27" i="3"/>
  <c r="P26" i="2"/>
  <c r="P26" i="3"/>
  <c r="P23" i="2"/>
  <c r="R23" i="2" s="1"/>
  <c r="P23" i="3"/>
  <c r="R23" i="3" s="1"/>
  <c r="P22" i="2"/>
  <c r="R22" i="2" s="1"/>
  <c r="P22" i="3"/>
  <c r="P19" i="2"/>
  <c r="P19" i="3"/>
  <c r="P18" i="2"/>
  <c r="P18" i="3"/>
  <c r="R18" i="3" s="1"/>
  <c r="P16" i="2"/>
  <c r="P16" i="3"/>
  <c r="P15" i="2"/>
  <c r="P15" i="3"/>
  <c r="N32" i="3"/>
  <c r="N32" i="4"/>
  <c r="N32" i="5"/>
  <c r="N32" i="6"/>
  <c r="N32" i="7"/>
  <c r="N32" i="8"/>
  <c r="N32" i="9"/>
  <c r="N32" i="10"/>
  <c r="N32" i="11"/>
  <c r="N32" i="12"/>
  <c r="N32" i="13"/>
  <c r="N32" i="14"/>
  <c r="N32" i="15"/>
  <c r="N32" i="16"/>
  <c r="N32" i="17"/>
  <c r="N32" i="18"/>
  <c r="N32" i="19"/>
  <c r="N32" i="20"/>
  <c r="N32" i="21"/>
  <c r="N32" i="22"/>
  <c r="N32" i="23"/>
  <c r="N32" i="24"/>
  <c r="N32" i="2"/>
  <c r="N27" i="3"/>
  <c r="N27" i="4"/>
  <c r="N27" i="5"/>
  <c r="N27" i="6"/>
  <c r="N27" i="7"/>
  <c r="N27" i="8"/>
  <c r="N27" i="9"/>
  <c r="N27" i="10"/>
  <c r="N27" i="11"/>
  <c r="N27" i="12"/>
  <c r="N27" i="13"/>
  <c r="N27" i="14"/>
  <c r="N27" i="15"/>
  <c r="N27" i="16"/>
  <c r="N27" i="17"/>
  <c r="N27" i="18"/>
  <c r="N27" i="19"/>
  <c r="N27" i="20"/>
  <c r="N27" i="21"/>
  <c r="N27" i="22"/>
  <c r="N27" i="23"/>
  <c r="N27" i="24"/>
  <c r="N27" i="2"/>
  <c r="N26" i="3"/>
  <c r="N26" i="4"/>
  <c r="N26" i="5"/>
  <c r="N26" i="6"/>
  <c r="N26" i="7"/>
  <c r="N26" i="8"/>
  <c r="N26" i="9"/>
  <c r="N26" i="10"/>
  <c r="N26" i="11"/>
  <c r="N26" i="12"/>
  <c r="N26" i="13"/>
  <c r="N26" i="14"/>
  <c r="N26" i="15"/>
  <c r="N26" i="16"/>
  <c r="N26" i="17"/>
  <c r="N26" i="18"/>
  <c r="N26" i="19"/>
  <c r="N26" i="20"/>
  <c r="N26" i="21"/>
  <c r="N26" i="22"/>
  <c r="N26" i="23"/>
  <c r="N26" i="24"/>
  <c r="N26" i="2"/>
  <c r="N25" i="3"/>
  <c r="N25" i="4"/>
  <c r="N25" i="5"/>
  <c r="N25" i="6"/>
  <c r="N25" i="7"/>
  <c r="N25" i="8"/>
  <c r="N25" i="9"/>
  <c r="N25" i="10"/>
  <c r="N25" i="11"/>
  <c r="N25" i="12"/>
  <c r="N25" i="13"/>
  <c r="N25" i="14"/>
  <c r="N25" i="15"/>
  <c r="N25" i="16"/>
  <c r="N25" i="17"/>
  <c r="N25" i="18"/>
  <c r="N25" i="19"/>
  <c r="N25" i="20"/>
  <c r="N25" i="21"/>
  <c r="N25" i="22"/>
  <c r="N25" i="23"/>
  <c r="N25" i="24"/>
  <c r="N23" i="3"/>
  <c r="N23" i="4"/>
  <c r="N23" i="5"/>
  <c r="N23" i="6"/>
  <c r="N23" i="7"/>
  <c r="N23" i="8"/>
  <c r="N23" i="9"/>
  <c r="N23" i="10"/>
  <c r="N23" i="11"/>
  <c r="N23" i="12"/>
  <c r="N23" i="13"/>
  <c r="N23" i="14"/>
  <c r="N23" i="15"/>
  <c r="N23" i="16"/>
  <c r="N23" i="17"/>
  <c r="N23" i="18"/>
  <c r="N23" i="19"/>
  <c r="N23" i="20"/>
  <c r="N23" i="21"/>
  <c r="N23" i="22"/>
  <c r="N23" i="23"/>
  <c r="N23" i="24"/>
  <c r="N23" i="2"/>
  <c r="N22" i="3"/>
  <c r="N22" i="4"/>
  <c r="N22" i="5"/>
  <c r="N22" i="6"/>
  <c r="N22" i="7"/>
  <c r="N22" i="8"/>
  <c r="N22" i="9"/>
  <c r="N22" i="10"/>
  <c r="N22" i="11"/>
  <c r="N22" i="12"/>
  <c r="N22" i="13"/>
  <c r="N22" i="14"/>
  <c r="N22" i="15"/>
  <c r="N22" i="16"/>
  <c r="N22" i="17"/>
  <c r="N22" i="18"/>
  <c r="N22" i="19"/>
  <c r="N22" i="20"/>
  <c r="N22" i="21"/>
  <c r="N22" i="22"/>
  <c r="N22" i="23"/>
  <c r="N22" i="24"/>
  <c r="N22" i="2"/>
  <c r="N20" i="3"/>
  <c r="N20" i="4"/>
  <c r="N20" i="5"/>
  <c r="N20" i="6"/>
  <c r="N20" i="7"/>
  <c r="N20" i="8"/>
  <c r="N20" i="9"/>
  <c r="N20" i="10"/>
  <c r="N20" i="11"/>
  <c r="N20" i="12"/>
  <c r="N20" i="13"/>
  <c r="N20" i="14"/>
  <c r="N20" i="15"/>
  <c r="N20" i="16"/>
  <c r="N20" i="17"/>
  <c r="N20" i="18"/>
  <c r="N20" i="19"/>
  <c r="N20" i="20"/>
  <c r="N20" i="21"/>
  <c r="N20" i="22"/>
  <c r="N20" i="23"/>
  <c r="N20" i="24"/>
  <c r="N20" i="2"/>
  <c r="N19" i="3"/>
  <c r="N19" i="4"/>
  <c r="N19" i="5"/>
  <c r="N19" i="6"/>
  <c r="N19" i="7"/>
  <c r="N19" i="8"/>
  <c r="N19" i="9"/>
  <c r="N19" i="10"/>
  <c r="N19" i="11"/>
  <c r="N19" i="12"/>
  <c r="N19" i="13"/>
  <c r="N19" i="14"/>
  <c r="N19" i="15"/>
  <c r="N19" i="16"/>
  <c r="N19" i="17"/>
  <c r="N19" i="18"/>
  <c r="N19" i="19"/>
  <c r="N19" i="20"/>
  <c r="N19" i="21"/>
  <c r="N19" i="22"/>
  <c r="N19" i="23"/>
  <c r="N19" i="24"/>
  <c r="N19" i="2"/>
  <c r="N16" i="3"/>
  <c r="N16" i="4"/>
  <c r="N16" i="5"/>
  <c r="N16" i="6"/>
  <c r="N16" i="7"/>
  <c r="N16" i="8"/>
  <c r="N16" i="9"/>
  <c r="N16" i="10"/>
  <c r="N16" i="11"/>
  <c r="N16" i="12"/>
  <c r="N16" i="13"/>
  <c r="N16" i="14"/>
  <c r="N16" i="15"/>
  <c r="N16" i="16"/>
  <c r="N16" i="17"/>
  <c r="N16" i="18"/>
  <c r="N16" i="19"/>
  <c r="N16" i="20"/>
  <c r="N16" i="21"/>
  <c r="N16" i="22"/>
  <c r="N16" i="23"/>
  <c r="N16" i="24"/>
  <c r="N16" i="2"/>
  <c r="N15" i="3"/>
  <c r="N15" i="4"/>
  <c r="N15" i="5"/>
  <c r="N15" i="6"/>
  <c r="N15" i="7"/>
  <c r="N15" i="8"/>
  <c r="N15" i="9"/>
  <c r="N15" i="10"/>
  <c r="N15" i="11"/>
  <c r="N15" i="12"/>
  <c r="N15" i="13"/>
  <c r="N15" i="14"/>
  <c r="N15" i="15"/>
  <c r="N15" i="16"/>
  <c r="N15" i="18"/>
  <c r="N15" i="19"/>
  <c r="N15" i="20"/>
  <c r="N15" i="21"/>
  <c r="N15" i="22"/>
  <c r="N15" i="23"/>
  <c r="N15" i="24"/>
  <c r="N15" i="2"/>
  <c r="L24" i="3"/>
  <c r="L24" i="4"/>
  <c r="L24" i="5"/>
  <c r="L24" i="6"/>
  <c r="L24" i="7"/>
  <c r="L24" i="8"/>
  <c r="L24" i="9"/>
  <c r="L24" i="10"/>
  <c r="L24" i="11"/>
  <c r="L24" i="12"/>
  <c r="L24" i="13"/>
  <c r="L24" i="14"/>
  <c r="L24" i="15"/>
  <c r="V17" i="15" s="1"/>
  <c r="L24" i="16"/>
  <c r="L24" i="17"/>
  <c r="L24" i="18"/>
  <c r="L24" i="19"/>
  <c r="L24" i="20"/>
  <c r="L24" i="21"/>
  <c r="L24" i="22"/>
  <c r="L24" i="23"/>
  <c r="L24" i="24"/>
  <c r="L24" i="2"/>
  <c r="L17" i="3"/>
  <c r="L17" i="4"/>
  <c r="L17" i="5"/>
  <c r="L17" i="6"/>
  <c r="L17" i="7"/>
  <c r="L17" i="8"/>
  <c r="L17" i="9"/>
  <c r="L17" i="10"/>
  <c r="V16" i="10" s="1"/>
  <c r="L17" i="11"/>
  <c r="L17" i="12"/>
  <c r="L17" i="13"/>
  <c r="L17" i="14"/>
  <c r="L17" i="15"/>
  <c r="V16" i="15" s="1"/>
  <c r="W17" i="15" s="1"/>
  <c r="L17" i="16"/>
  <c r="L17" i="17"/>
  <c r="L17" i="18"/>
  <c r="L17" i="19"/>
  <c r="L17" i="20"/>
  <c r="L17" i="21"/>
  <c r="L17" i="22"/>
  <c r="L17" i="23"/>
  <c r="L17" i="24"/>
  <c r="L17" i="2"/>
  <c r="L14" i="3"/>
  <c r="L14" i="4"/>
  <c r="L14" i="5"/>
  <c r="L14" i="6"/>
  <c r="L14" i="7"/>
  <c r="L14" i="8"/>
  <c r="L14" i="9"/>
  <c r="L14" i="10"/>
  <c r="L14" i="11"/>
  <c r="L14" i="12"/>
  <c r="L14" i="13"/>
  <c r="L14" i="14"/>
  <c r="L14" i="15"/>
  <c r="L14" i="16"/>
  <c r="L14" i="17"/>
  <c r="L14" i="18"/>
  <c r="L14" i="19"/>
  <c r="L14" i="20"/>
  <c r="L14" i="21"/>
  <c r="L14" i="22"/>
  <c r="L14" i="23"/>
  <c r="L14" i="24"/>
  <c r="L14" i="2"/>
  <c r="K32" i="3"/>
  <c r="K32" i="4"/>
  <c r="K32" i="5"/>
  <c r="K32" i="6"/>
  <c r="K32" i="7"/>
  <c r="K32" i="8"/>
  <c r="K32" i="9"/>
  <c r="K32" i="10"/>
  <c r="K32" i="11"/>
  <c r="K32" i="12"/>
  <c r="K32" i="13"/>
  <c r="K32" i="14"/>
  <c r="K32" i="15"/>
  <c r="K32" i="16"/>
  <c r="K32" i="17"/>
  <c r="K32" i="18"/>
  <c r="K32" i="19"/>
  <c r="K32" i="20"/>
  <c r="K32" i="21"/>
  <c r="K32" i="22"/>
  <c r="K32" i="23"/>
  <c r="K32" i="24"/>
  <c r="K32" i="2"/>
  <c r="K28" i="3"/>
  <c r="K28" i="4"/>
  <c r="K28" i="5"/>
  <c r="K28" i="6"/>
  <c r="K28" i="7"/>
  <c r="K28" i="8"/>
  <c r="K28" i="9"/>
  <c r="K28" i="10"/>
  <c r="K28" i="11"/>
  <c r="K28" i="12"/>
  <c r="K28" i="13"/>
  <c r="K28" i="14"/>
  <c r="K28" i="15"/>
  <c r="K28" i="16"/>
  <c r="K28" i="17"/>
  <c r="K28" i="18"/>
  <c r="K28" i="19"/>
  <c r="K28" i="20"/>
  <c r="K28" i="21"/>
  <c r="K28" i="22"/>
  <c r="K28" i="23"/>
  <c r="K28" i="24"/>
  <c r="K28" i="2"/>
  <c r="K27" i="3"/>
  <c r="K27" i="4"/>
  <c r="K27" i="5"/>
  <c r="K27" i="6"/>
  <c r="K27" i="7"/>
  <c r="K27" i="8"/>
  <c r="K27" i="9"/>
  <c r="K27" i="10"/>
  <c r="K27" i="11"/>
  <c r="K27" i="12"/>
  <c r="K27" i="13"/>
  <c r="K27" i="14"/>
  <c r="K27" i="15"/>
  <c r="K27" i="16"/>
  <c r="K27" i="17"/>
  <c r="K27" i="18"/>
  <c r="K27" i="19"/>
  <c r="K27" i="20"/>
  <c r="K27" i="21"/>
  <c r="K27" i="22"/>
  <c r="K27" i="23"/>
  <c r="K27" i="24"/>
  <c r="K27" i="2"/>
  <c r="K26" i="3"/>
  <c r="K26" i="4"/>
  <c r="K26" i="5"/>
  <c r="K26" i="6"/>
  <c r="K26" i="7"/>
  <c r="K26" i="9"/>
  <c r="K26" i="10"/>
  <c r="K26" i="11"/>
  <c r="K26" i="12"/>
  <c r="K26" i="13"/>
  <c r="K26" i="14"/>
  <c r="K26" i="15"/>
  <c r="K26" i="16"/>
  <c r="K26" i="17"/>
  <c r="K26" i="18"/>
  <c r="K26" i="19"/>
  <c r="K26" i="20"/>
  <c r="K26" i="21"/>
  <c r="K26" i="22"/>
  <c r="K26" i="23"/>
  <c r="K26" i="24"/>
  <c r="K26" i="2"/>
  <c r="K25" i="3"/>
  <c r="K25" i="4"/>
  <c r="K25" i="5"/>
  <c r="K25" i="6"/>
  <c r="K25" i="7"/>
  <c r="K25" i="9"/>
  <c r="K25" i="10"/>
  <c r="K25" i="11"/>
  <c r="K25" i="12"/>
  <c r="K25" i="13"/>
  <c r="K25" i="14"/>
  <c r="K25" i="15"/>
  <c r="K25" i="16"/>
  <c r="K25" i="17"/>
  <c r="K25" i="18"/>
  <c r="K25" i="19"/>
  <c r="K25" i="20"/>
  <c r="K25" i="21"/>
  <c r="K25" i="22"/>
  <c r="K25" i="23"/>
  <c r="K25" i="24"/>
  <c r="K25" i="2"/>
  <c r="K23" i="3"/>
  <c r="K23" i="4"/>
  <c r="K23" i="5"/>
  <c r="K23" i="6"/>
  <c r="K23" i="7"/>
  <c r="K23" i="9"/>
  <c r="K23" i="10"/>
  <c r="K23" i="11"/>
  <c r="K23" i="12"/>
  <c r="K23" i="13"/>
  <c r="K23" i="14"/>
  <c r="K23" i="15"/>
  <c r="K23" i="16"/>
  <c r="K23" i="17"/>
  <c r="K23" i="18"/>
  <c r="K23" i="19"/>
  <c r="K23" i="20"/>
  <c r="K23" i="21"/>
  <c r="K23" i="22"/>
  <c r="K23" i="23"/>
  <c r="K23" i="24"/>
  <c r="K23" i="2"/>
  <c r="K22" i="3"/>
  <c r="K22" i="4"/>
  <c r="K22" i="5"/>
  <c r="K22" i="6"/>
  <c r="K22" i="7"/>
  <c r="K22" i="9"/>
  <c r="K22" i="10"/>
  <c r="K22" i="11"/>
  <c r="K22" i="12"/>
  <c r="K22" i="13"/>
  <c r="K22" i="14"/>
  <c r="K22" i="15"/>
  <c r="K22" i="16"/>
  <c r="K22" i="17"/>
  <c r="K22" i="18"/>
  <c r="K22" i="19"/>
  <c r="K22" i="20"/>
  <c r="K22" i="21"/>
  <c r="K22" i="22"/>
  <c r="K22" i="23"/>
  <c r="K22" i="24"/>
  <c r="K22" i="2"/>
  <c r="K20" i="3"/>
  <c r="K20" i="4"/>
  <c r="K20" i="5"/>
  <c r="K20" i="6"/>
  <c r="K20" i="7"/>
  <c r="K20" i="9"/>
  <c r="K20" i="10"/>
  <c r="K20" i="11"/>
  <c r="K20" i="12"/>
  <c r="K20" i="13"/>
  <c r="K20" i="14"/>
  <c r="K20" i="15"/>
  <c r="K20" i="16"/>
  <c r="K20" i="17"/>
  <c r="K20" i="18"/>
  <c r="K20" i="19"/>
  <c r="K20" i="20"/>
  <c r="K20" i="21"/>
  <c r="K20" i="22"/>
  <c r="K20" i="23"/>
  <c r="K20" i="24"/>
  <c r="K20" i="2"/>
  <c r="K19" i="3"/>
  <c r="K19" i="4"/>
  <c r="K19" i="5"/>
  <c r="K19" i="6"/>
  <c r="K19" i="7"/>
  <c r="K19" i="9"/>
  <c r="K19" i="10"/>
  <c r="K19" i="11"/>
  <c r="K19" i="12"/>
  <c r="K19" i="13"/>
  <c r="K19" i="14"/>
  <c r="K19" i="15"/>
  <c r="K19" i="16"/>
  <c r="K19" i="17"/>
  <c r="K19" i="18"/>
  <c r="K19" i="19"/>
  <c r="K19" i="20"/>
  <c r="K19" i="21"/>
  <c r="K19" i="22"/>
  <c r="K19" i="23"/>
  <c r="K19" i="24"/>
  <c r="K19" i="2"/>
  <c r="K18" i="3"/>
  <c r="K18" i="4"/>
  <c r="K18" i="5"/>
  <c r="K18" i="6"/>
  <c r="K18" i="7"/>
  <c r="K18" i="9"/>
  <c r="K18" i="10"/>
  <c r="K18" i="11"/>
  <c r="K18" i="12"/>
  <c r="K18" i="13"/>
  <c r="K18" i="14"/>
  <c r="K18" i="15"/>
  <c r="K18" i="16"/>
  <c r="K18" i="17"/>
  <c r="K18" i="18"/>
  <c r="K18" i="19"/>
  <c r="K18" i="20"/>
  <c r="K18" i="21"/>
  <c r="K18" i="22"/>
  <c r="K18" i="23"/>
  <c r="K18" i="24"/>
  <c r="K18" i="2"/>
  <c r="K16" i="3"/>
  <c r="K16" i="4"/>
  <c r="K16" i="5"/>
  <c r="K14" i="5" s="1"/>
  <c r="K16" i="6"/>
  <c r="K16" i="7"/>
  <c r="K16" i="9"/>
  <c r="K16" i="10"/>
  <c r="K16" i="11"/>
  <c r="K16" i="12"/>
  <c r="K16" i="13"/>
  <c r="K16" i="14"/>
  <c r="K16" i="15"/>
  <c r="K16" i="16"/>
  <c r="K16" i="17"/>
  <c r="K16" i="18"/>
  <c r="K16" i="19"/>
  <c r="K16" i="20"/>
  <c r="K16" i="21"/>
  <c r="K16" i="22"/>
  <c r="K16" i="23"/>
  <c r="K16" i="24"/>
  <c r="K16" i="2"/>
  <c r="K15" i="3"/>
  <c r="K15" i="4"/>
  <c r="K15" i="6"/>
  <c r="K15" i="7"/>
  <c r="K15" i="9"/>
  <c r="K15" i="10"/>
  <c r="K15" i="11"/>
  <c r="K15" i="12"/>
  <c r="K15" i="13"/>
  <c r="K15" i="14"/>
  <c r="K15" i="15"/>
  <c r="K15" i="16"/>
  <c r="K15" i="17"/>
  <c r="K15" i="18"/>
  <c r="K15" i="19"/>
  <c r="K15" i="20"/>
  <c r="K15" i="21"/>
  <c r="K15" i="22"/>
  <c r="K15" i="23"/>
  <c r="K15" i="24"/>
  <c r="K15" i="2"/>
  <c r="H32" i="3"/>
  <c r="H32" i="4"/>
  <c r="H32" i="5"/>
  <c r="H32" i="6"/>
  <c r="H32" i="7"/>
  <c r="H32" i="8"/>
  <c r="H32" i="9"/>
  <c r="H32" i="10"/>
  <c r="H32" i="11"/>
  <c r="H32" i="12"/>
  <c r="H32" i="13"/>
  <c r="H32" i="14"/>
  <c r="H32" i="15"/>
  <c r="H32" i="16"/>
  <c r="H32" i="17"/>
  <c r="H32" i="18"/>
  <c r="H32" i="19"/>
  <c r="H32" i="20"/>
  <c r="H32" i="21"/>
  <c r="H32" i="22"/>
  <c r="H32" i="23"/>
  <c r="H32" i="24"/>
  <c r="H32" i="2"/>
  <c r="H28" i="3"/>
  <c r="H28" i="4"/>
  <c r="H28" i="5"/>
  <c r="H28" i="6"/>
  <c r="H28" i="7"/>
  <c r="H28" i="8"/>
  <c r="H28" i="9"/>
  <c r="H28" i="10"/>
  <c r="H28" i="11"/>
  <c r="H28" i="12"/>
  <c r="H28" i="13"/>
  <c r="H28" i="14"/>
  <c r="H28" i="15"/>
  <c r="H28" i="16"/>
  <c r="H28" i="17"/>
  <c r="H28" i="18"/>
  <c r="H28" i="19"/>
  <c r="H28" i="20"/>
  <c r="H28" i="21"/>
  <c r="H28" i="22"/>
  <c r="H28" i="23"/>
  <c r="H28" i="24"/>
  <c r="H28" i="2"/>
  <c r="H27" i="3"/>
  <c r="H27" i="4"/>
  <c r="H27" i="5"/>
  <c r="H27" i="6"/>
  <c r="H27" i="7"/>
  <c r="H27" i="8"/>
  <c r="H27" i="9"/>
  <c r="H27" i="10"/>
  <c r="H27" i="11"/>
  <c r="H27" i="12"/>
  <c r="H27" i="13"/>
  <c r="H27" i="14"/>
  <c r="H27" i="15"/>
  <c r="H27" i="16"/>
  <c r="H27" i="17"/>
  <c r="H27" i="18"/>
  <c r="H27" i="19"/>
  <c r="H27" i="20"/>
  <c r="H27" i="21"/>
  <c r="H27" i="22"/>
  <c r="H27" i="23"/>
  <c r="H27" i="24"/>
  <c r="H27" i="2"/>
  <c r="H26" i="3"/>
  <c r="H26" i="4"/>
  <c r="H26" i="5"/>
  <c r="H26" i="6"/>
  <c r="H26" i="7"/>
  <c r="H26" i="8"/>
  <c r="H26" i="9"/>
  <c r="H26" i="10"/>
  <c r="H26" i="11"/>
  <c r="H26" i="12"/>
  <c r="H26" i="13"/>
  <c r="H26" i="14"/>
  <c r="H26" i="15"/>
  <c r="H26" i="16"/>
  <c r="H26" i="17"/>
  <c r="H26" i="18"/>
  <c r="H26" i="19"/>
  <c r="H26" i="20"/>
  <c r="H26" i="21"/>
  <c r="H26" i="22"/>
  <c r="H26" i="23"/>
  <c r="H26" i="24"/>
  <c r="H26" i="2"/>
  <c r="H23" i="3"/>
  <c r="H23" i="4"/>
  <c r="H23" i="5"/>
  <c r="H23" i="6"/>
  <c r="H23" i="7"/>
  <c r="H23" i="8"/>
  <c r="H23" i="9"/>
  <c r="H23" i="10"/>
  <c r="H23" i="11"/>
  <c r="H23" i="12"/>
  <c r="H23" i="13"/>
  <c r="H23" i="14"/>
  <c r="H23" i="15"/>
  <c r="H23" i="16"/>
  <c r="H23" i="17"/>
  <c r="H23" i="18"/>
  <c r="H23" i="19"/>
  <c r="H23" i="20"/>
  <c r="H23" i="21"/>
  <c r="H23" i="22"/>
  <c r="H23" i="23"/>
  <c r="H23" i="24"/>
  <c r="H23" i="2"/>
  <c r="H22" i="3"/>
  <c r="H22" i="4"/>
  <c r="H22" i="5"/>
  <c r="H22" i="6"/>
  <c r="H22" i="7"/>
  <c r="H22" i="8"/>
  <c r="H22" i="9"/>
  <c r="H22" i="10"/>
  <c r="H22" i="11"/>
  <c r="H22" i="12"/>
  <c r="H22" i="13"/>
  <c r="H22" i="14"/>
  <c r="H22" i="15"/>
  <c r="H22" i="16"/>
  <c r="H22" i="17"/>
  <c r="H22" i="18"/>
  <c r="H22" i="19"/>
  <c r="H22" i="20"/>
  <c r="H22" i="21"/>
  <c r="H22" i="22"/>
  <c r="H22" i="23"/>
  <c r="H22" i="24"/>
  <c r="H22" i="2"/>
  <c r="H20" i="3"/>
  <c r="H20" i="4"/>
  <c r="H20" i="5"/>
  <c r="H20" i="6"/>
  <c r="H20" i="7"/>
  <c r="H20" i="8"/>
  <c r="H20" i="9"/>
  <c r="H20" i="10"/>
  <c r="H20" i="11"/>
  <c r="H20" i="12"/>
  <c r="H20" i="13"/>
  <c r="H20" i="14"/>
  <c r="H20" i="15"/>
  <c r="H20" i="16"/>
  <c r="H20" i="17"/>
  <c r="H20" i="18"/>
  <c r="H20" i="19"/>
  <c r="H20" i="20"/>
  <c r="H20" i="21"/>
  <c r="H20" i="22"/>
  <c r="H20" i="23"/>
  <c r="H20" i="24"/>
  <c r="H20" i="2"/>
  <c r="H19" i="3"/>
  <c r="H19" i="4"/>
  <c r="H19" i="5"/>
  <c r="H19" i="6"/>
  <c r="H19" i="7"/>
  <c r="H19" i="8"/>
  <c r="H19" i="9"/>
  <c r="H19" i="10"/>
  <c r="H19" i="11"/>
  <c r="H19" i="12"/>
  <c r="H19" i="13"/>
  <c r="H19" i="14"/>
  <c r="H19" i="15"/>
  <c r="H19" i="16"/>
  <c r="H19" i="17"/>
  <c r="H19" i="18"/>
  <c r="H19" i="19"/>
  <c r="H19" i="20"/>
  <c r="H19" i="21"/>
  <c r="H19" i="22"/>
  <c r="H19" i="23"/>
  <c r="H19" i="24"/>
  <c r="H19" i="2"/>
  <c r="I14" i="3"/>
  <c r="I14" i="4"/>
  <c r="I14" i="5"/>
  <c r="I14" i="6"/>
  <c r="I14" i="7"/>
  <c r="I14" i="9"/>
  <c r="I14" i="10"/>
  <c r="I14" i="11"/>
  <c r="I14" i="12"/>
  <c r="I14" i="13"/>
  <c r="I14" i="14"/>
  <c r="I14" i="15"/>
  <c r="I14" i="16"/>
  <c r="I14" i="17"/>
  <c r="I14" i="18"/>
  <c r="I14" i="19"/>
  <c r="I14" i="20"/>
  <c r="I14" i="21"/>
  <c r="I14" i="22"/>
  <c r="I14" i="23"/>
  <c r="I14" i="24"/>
  <c r="I14" i="2"/>
  <c r="V16" i="12" l="1"/>
  <c r="V17" i="12"/>
  <c r="W17" i="12" s="1"/>
  <c r="W17" i="10"/>
  <c r="W18" i="10"/>
  <c r="R15" i="3"/>
  <c r="R16" i="2"/>
  <c r="K24" i="8"/>
  <c r="R16" i="3"/>
  <c r="P17" i="2"/>
  <c r="R32" i="2"/>
  <c r="K24" i="2"/>
  <c r="R26" i="2"/>
  <c r="L44" i="7"/>
  <c r="L45" i="7" s="1"/>
  <c r="R20" i="3"/>
  <c r="R26" i="3"/>
  <c r="I46" i="12"/>
  <c r="R19" i="3"/>
  <c r="R27" i="3"/>
  <c r="R32" i="3"/>
  <c r="R22" i="3"/>
  <c r="R19" i="2"/>
  <c r="L44" i="3"/>
  <c r="L45" i="3" s="1"/>
  <c r="P14" i="2"/>
  <c r="L44" i="24"/>
  <c r="L45" i="24" s="1"/>
  <c r="I46" i="24"/>
  <c r="L44" i="23"/>
  <c r="L45" i="23" s="1"/>
  <c r="I46" i="23"/>
  <c r="M13" i="22"/>
  <c r="L44" i="22"/>
  <c r="L45" i="22" s="1"/>
  <c r="J13" i="22"/>
  <c r="I46" i="22"/>
  <c r="L44" i="21"/>
  <c r="L45" i="21" s="1"/>
  <c r="I46" i="21"/>
  <c r="L44" i="20"/>
  <c r="L45" i="20" s="1"/>
  <c r="I46" i="20"/>
  <c r="L44" i="19"/>
  <c r="L45" i="19" s="1"/>
  <c r="I46" i="19"/>
  <c r="L44" i="18"/>
  <c r="L45" i="18" s="1"/>
  <c r="I46" i="18"/>
  <c r="L44" i="17"/>
  <c r="I46" i="17"/>
  <c r="L44" i="6"/>
  <c r="L45" i="6" s="1"/>
  <c r="I46" i="6"/>
  <c r="L44" i="16"/>
  <c r="L45" i="16" s="1"/>
  <c r="I46" i="16"/>
  <c r="L44" i="15"/>
  <c r="L45" i="15" s="1"/>
  <c r="I46" i="15"/>
  <c r="L44" i="14"/>
  <c r="L45" i="14" s="1"/>
  <c r="I46" i="14"/>
  <c r="L44" i="13"/>
  <c r="L45" i="13" s="1"/>
  <c r="I46" i="13"/>
  <c r="L44" i="12"/>
  <c r="L45" i="12" s="1"/>
  <c r="L44" i="11"/>
  <c r="L45" i="11" s="1"/>
  <c r="I46" i="11"/>
  <c r="L44" i="10"/>
  <c r="L45" i="10" s="1"/>
  <c r="I46" i="10"/>
  <c r="L44" i="9"/>
  <c r="L45" i="9" s="1"/>
  <c r="I46" i="9"/>
  <c r="L44" i="8"/>
  <c r="L45" i="8" s="1"/>
  <c r="I46" i="8"/>
  <c r="I46" i="7"/>
  <c r="L44" i="5"/>
  <c r="L45" i="5" s="1"/>
  <c r="I46" i="5"/>
  <c r="I46" i="3"/>
  <c r="L44" i="2"/>
  <c r="L45" i="2" s="1"/>
  <c r="I46" i="2"/>
  <c r="I46" i="4"/>
  <c r="L44" i="4"/>
  <c r="L45" i="4" s="1"/>
  <c r="R18" i="2"/>
  <c r="R20" i="2"/>
  <c r="R15" i="2"/>
  <c r="N24" i="2"/>
  <c r="N17" i="2"/>
  <c r="N14" i="2"/>
  <c r="H10" i="6"/>
  <c r="H10" i="7"/>
  <c r="H10" i="8"/>
  <c r="H10" i="9"/>
  <c r="H10" i="10"/>
  <c r="H10" i="11"/>
  <c r="H10" i="12"/>
  <c r="H10" i="14"/>
  <c r="H10" i="15"/>
  <c r="H10" i="16"/>
  <c r="H10" i="17"/>
  <c r="H10" i="18"/>
  <c r="H10" i="19"/>
  <c r="H10" i="20"/>
  <c r="H10" i="22"/>
  <c r="H10" i="23"/>
  <c r="H10" i="24"/>
  <c r="H10" i="3"/>
  <c r="H10" i="4"/>
  <c r="H10" i="5"/>
  <c r="H10" i="13"/>
  <c r="H10" i="21"/>
  <c r="L45" i="17" l="1"/>
  <c r="N44" i="2"/>
  <c r="I32" i="1"/>
  <c r="K28" i="1"/>
  <c r="K26" i="1"/>
  <c r="I25" i="1"/>
  <c r="K25" i="1" s="1"/>
  <c r="I23" i="1"/>
  <c r="K23" i="1" s="1"/>
  <c r="K22" i="1"/>
  <c r="K20" i="1"/>
  <c r="K19" i="1"/>
  <c r="I18" i="1"/>
  <c r="K18" i="1" s="1"/>
  <c r="K16" i="1"/>
  <c r="K15" i="1"/>
  <c r="K32" i="1" l="1"/>
  <c r="P32" i="1"/>
  <c r="F23" i="1"/>
  <c r="F22" i="1"/>
  <c r="F20" i="1"/>
  <c r="H20" i="1" s="1"/>
  <c r="F19" i="1"/>
  <c r="H19" i="1" s="1"/>
  <c r="F18" i="1"/>
  <c r="F16" i="1"/>
  <c r="F15" i="1"/>
  <c r="L24" i="1"/>
  <c r="L17" i="1"/>
  <c r="L14" i="1"/>
  <c r="I14" i="1"/>
  <c r="L44" i="1" l="1"/>
  <c r="P19" i="1"/>
  <c r="R19" i="1" s="1"/>
  <c r="H23" i="1"/>
  <c r="P23" i="1"/>
  <c r="R23" i="1" s="1"/>
  <c r="H26" i="1"/>
  <c r="P26" i="1"/>
  <c r="R26" i="1" s="1"/>
  <c r="H16" i="1"/>
  <c r="P16" i="1"/>
  <c r="R16" i="1" s="1"/>
  <c r="H22" i="1"/>
  <c r="P22" i="1"/>
  <c r="R22" i="1" s="1"/>
  <c r="H27" i="1"/>
  <c r="P27" i="1"/>
  <c r="R27" i="1" s="1"/>
  <c r="H32" i="1"/>
  <c r="R32" i="1"/>
  <c r="P20" i="1"/>
  <c r="R20" i="1" s="1"/>
  <c r="P28" i="1"/>
  <c r="R28" i="1" s="1"/>
  <c r="H18" i="1"/>
  <c r="P18" i="1"/>
  <c r="F17" i="1"/>
  <c r="H15" i="1"/>
  <c r="P15" i="1"/>
  <c r="F14" i="1"/>
  <c r="R18" i="1" l="1"/>
  <c r="P17" i="1"/>
  <c r="R15" i="1"/>
  <c r="P14" i="1"/>
  <c r="L45" i="1"/>
  <c r="I46" i="1"/>
  <c r="P10" i="1" l="1"/>
  <c r="P15" i="4"/>
  <c r="R15" i="4" s="1"/>
  <c r="P16" i="4"/>
  <c r="R16" i="4" s="1"/>
  <c r="P18" i="4"/>
  <c r="R18" i="4" s="1"/>
  <c r="P19" i="4"/>
  <c r="R19" i="4" s="1"/>
  <c r="R20" i="4"/>
  <c r="P22" i="4"/>
  <c r="R22" i="4" s="1"/>
  <c r="P23" i="4"/>
  <c r="R23" i="4" s="1"/>
  <c r="P26" i="4"/>
  <c r="R26" i="4" s="1"/>
  <c r="P27" i="4"/>
  <c r="R27" i="4" s="1"/>
  <c r="P28" i="4"/>
  <c r="R28" i="4" s="1"/>
  <c r="P32" i="4"/>
  <c r="R32" i="4" s="1"/>
  <c r="P15" i="5"/>
  <c r="R15" i="5" s="1"/>
  <c r="P16" i="5"/>
  <c r="R16" i="5" s="1"/>
  <c r="P18" i="5"/>
  <c r="R18" i="5" s="1"/>
  <c r="P19" i="5"/>
  <c r="R19" i="5" s="1"/>
  <c r="R20" i="5"/>
  <c r="P22" i="5"/>
  <c r="R22" i="5" s="1"/>
  <c r="P23" i="5"/>
  <c r="R23" i="5" s="1"/>
  <c r="P26" i="5"/>
  <c r="R26" i="5" s="1"/>
  <c r="P27" i="5"/>
  <c r="R27" i="5" s="1"/>
  <c r="P28" i="5"/>
  <c r="R28" i="5" s="1"/>
  <c r="P32" i="5"/>
  <c r="R32" i="5" s="1"/>
  <c r="P15" i="6"/>
  <c r="R15" i="6" s="1"/>
  <c r="P16" i="6"/>
  <c r="R16" i="6" s="1"/>
  <c r="P18" i="6"/>
  <c r="R18" i="6" s="1"/>
  <c r="P19" i="6"/>
  <c r="R19" i="6" s="1"/>
  <c r="R20" i="6"/>
  <c r="P22" i="6"/>
  <c r="R22" i="6" s="1"/>
  <c r="P23" i="6"/>
  <c r="R23" i="6" s="1"/>
  <c r="P26" i="6"/>
  <c r="R26" i="6" s="1"/>
  <c r="P27" i="6"/>
  <c r="R27" i="6" s="1"/>
  <c r="P28" i="6"/>
  <c r="R28" i="6" s="1"/>
  <c r="P32" i="6"/>
  <c r="R32" i="6" s="1"/>
  <c r="P15" i="7"/>
  <c r="R15" i="7" s="1"/>
  <c r="P16" i="7"/>
  <c r="R16" i="7" s="1"/>
  <c r="P18" i="7"/>
  <c r="R18" i="7" s="1"/>
  <c r="P19" i="7"/>
  <c r="R19" i="7" s="1"/>
  <c r="R20" i="7"/>
  <c r="P22" i="7"/>
  <c r="R22" i="7" s="1"/>
  <c r="P23" i="7"/>
  <c r="R23" i="7" s="1"/>
  <c r="P26" i="7"/>
  <c r="R26" i="7" s="1"/>
  <c r="P27" i="7"/>
  <c r="R27" i="7" s="1"/>
  <c r="P28" i="7"/>
  <c r="R28" i="7" s="1"/>
  <c r="P32" i="7"/>
  <c r="R32" i="7" s="1"/>
  <c r="P15" i="8"/>
  <c r="R15" i="8" s="1"/>
  <c r="P16" i="8"/>
  <c r="R16" i="8" s="1"/>
  <c r="P18" i="8"/>
  <c r="R18" i="8" s="1"/>
  <c r="P19" i="8"/>
  <c r="R19" i="8" s="1"/>
  <c r="R20" i="8"/>
  <c r="P22" i="8"/>
  <c r="R22" i="8" s="1"/>
  <c r="P23" i="8"/>
  <c r="R23" i="8" s="1"/>
  <c r="P26" i="8"/>
  <c r="R26" i="8" s="1"/>
  <c r="P27" i="8"/>
  <c r="R27" i="8" s="1"/>
  <c r="P28" i="8"/>
  <c r="R28" i="8" s="1"/>
  <c r="P32" i="8"/>
  <c r="R32" i="8" s="1"/>
  <c r="P15" i="9"/>
  <c r="R15" i="9" s="1"/>
  <c r="P16" i="9"/>
  <c r="R16" i="9" s="1"/>
  <c r="P18" i="9"/>
  <c r="R18" i="9" s="1"/>
  <c r="P19" i="9"/>
  <c r="R19" i="9" s="1"/>
  <c r="R20" i="9"/>
  <c r="P22" i="9"/>
  <c r="R22" i="9" s="1"/>
  <c r="P23" i="9"/>
  <c r="R23" i="9" s="1"/>
  <c r="P26" i="9"/>
  <c r="R26" i="9" s="1"/>
  <c r="P27" i="9"/>
  <c r="R27" i="9" s="1"/>
  <c r="P28" i="9"/>
  <c r="R28" i="9" s="1"/>
  <c r="P32" i="9"/>
  <c r="R32" i="9" s="1"/>
  <c r="P15" i="10"/>
  <c r="R15" i="10" s="1"/>
  <c r="P16" i="10"/>
  <c r="R16" i="10" s="1"/>
  <c r="P18" i="10"/>
  <c r="R18" i="10" s="1"/>
  <c r="P19" i="10"/>
  <c r="R19" i="10" s="1"/>
  <c r="R20" i="10"/>
  <c r="P22" i="10"/>
  <c r="R22" i="10" s="1"/>
  <c r="P23" i="10"/>
  <c r="R23" i="10" s="1"/>
  <c r="P26" i="10"/>
  <c r="R26" i="10" s="1"/>
  <c r="P27" i="10"/>
  <c r="R27" i="10" s="1"/>
  <c r="P28" i="10"/>
  <c r="R28" i="10" s="1"/>
  <c r="P32" i="10"/>
  <c r="R32" i="10" s="1"/>
  <c r="P15" i="11"/>
  <c r="R15" i="11" s="1"/>
  <c r="P16" i="11"/>
  <c r="R16" i="11" s="1"/>
  <c r="P18" i="11"/>
  <c r="R18" i="11" s="1"/>
  <c r="P19" i="11"/>
  <c r="R19" i="11" s="1"/>
  <c r="R20" i="11"/>
  <c r="P22" i="11"/>
  <c r="R22" i="11" s="1"/>
  <c r="P23" i="11"/>
  <c r="R23" i="11" s="1"/>
  <c r="P26" i="11"/>
  <c r="R26" i="11" s="1"/>
  <c r="P27" i="11"/>
  <c r="R27" i="11" s="1"/>
  <c r="P28" i="11"/>
  <c r="R28" i="11" s="1"/>
  <c r="P32" i="11"/>
  <c r="R32" i="11" s="1"/>
  <c r="P15" i="12"/>
  <c r="R15" i="12" s="1"/>
  <c r="P16" i="12"/>
  <c r="R16" i="12" s="1"/>
  <c r="P18" i="12"/>
  <c r="R18" i="12" s="1"/>
  <c r="P19" i="12"/>
  <c r="R19" i="12" s="1"/>
  <c r="R20" i="12"/>
  <c r="P22" i="12"/>
  <c r="R22" i="12" s="1"/>
  <c r="P23" i="12"/>
  <c r="R23" i="12" s="1"/>
  <c r="P26" i="12"/>
  <c r="R26" i="12" s="1"/>
  <c r="P27" i="12"/>
  <c r="R27" i="12" s="1"/>
  <c r="P28" i="12"/>
  <c r="R28" i="12" s="1"/>
  <c r="P32" i="12"/>
  <c r="R32" i="12" s="1"/>
  <c r="P15" i="13"/>
  <c r="R15" i="13" s="1"/>
  <c r="P16" i="13"/>
  <c r="R16" i="13" s="1"/>
  <c r="P18" i="13"/>
  <c r="R18" i="13" s="1"/>
  <c r="P19" i="13"/>
  <c r="R19" i="13" s="1"/>
  <c r="R20" i="13"/>
  <c r="P22" i="13"/>
  <c r="R22" i="13" s="1"/>
  <c r="P23" i="13"/>
  <c r="R23" i="13" s="1"/>
  <c r="P26" i="13"/>
  <c r="R26" i="13" s="1"/>
  <c r="P27" i="13"/>
  <c r="R27" i="13" s="1"/>
  <c r="P28" i="13"/>
  <c r="R28" i="13" s="1"/>
  <c r="P32" i="13"/>
  <c r="R32" i="13" s="1"/>
  <c r="P15" i="14"/>
  <c r="R15" i="14" s="1"/>
  <c r="P16" i="14"/>
  <c r="R16" i="14" s="1"/>
  <c r="P18" i="14"/>
  <c r="R18" i="14" s="1"/>
  <c r="P19" i="14"/>
  <c r="R19" i="14" s="1"/>
  <c r="R20" i="14"/>
  <c r="P22" i="14"/>
  <c r="R22" i="14" s="1"/>
  <c r="P23" i="14"/>
  <c r="R23" i="14" s="1"/>
  <c r="P26" i="14"/>
  <c r="R26" i="14" s="1"/>
  <c r="P27" i="14"/>
  <c r="R27" i="14" s="1"/>
  <c r="P28" i="14"/>
  <c r="R28" i="14" s="1"/>
  <c r="P32" i="14"/>
  <c r="R32" i="14" s="1"/>
  <c r="P15" i="15"/>
  <c r="R15" i="15" s="1"/>
  <c r="P16" i="15"/>
  <c r="R16" i="15" s="1"/>
  <c r="P18" i="15"/>
  <c r="R18" i="15" s="1"/>
  <c r="P19" i="15"/>
  <c r="R19" i="15" s="1"/>
  <c r="R20" i="15"/>
  <c r="P22" i="15"/>
  <c r="R22" i="15" s="1"/>
  <c r="P23" i="15"/>
  <c r="R23" i="15" s="1"/>
  <c r="P26" i="15"/>
  <c r="R26" i="15" s="1"/>
  <c r="P27" i="15"/>
  <c r="R27" i="15" s="1"/>
  <c r="P28" i="15"/>
  <c r="R28" i="15" s="1"/>
  <c r="P32" i="15"/>
  <c r="R32" i="15" s="1"/>
  <c r="P15" i="16"/>
  <c r="R15" i="16" s="1"/>
  <c r="P16" i="16"/>
  <c r="R16" i="16" s="1"/>
  <c r="P18" i="16"/>
  <c r="R18" i="16" s="1"/>
  <c r="P19" i="16"/>
  <c r="R19" i="16" s="1"/>
  <c r="R20" i="16"/>
  <c r="P22" i="16"/>
  <c r="R22" i="16" s="1"/>
  <c r="P23" i="16"/>
  <c r="R23" i="16" s="1"/>
  <c r="P26" i="16"/>
  <c r="R26" i="16" s="1"/>
  <c r="P27" i="16"/>
  <c r="R27" i="16" s="1"/>
  <c r="P28" i="16"/>
  <c r="R28" i="16" s="1"/>
  <c r="P32" i="16"/>
  <c r="R32" i="16" s="1"/>
  <c r="P15" i="17"/>
  <c r="R15" i="17" s="1"/>
  <c r="P16" i="17"/>
  <c r="R16" i="17" s="1"/>
  <c r="P18" i="17"/>
  <c r="R18" i="17" s="1"/>
  <c r="P19" i="17"/>
  <c r="R19" i="17" s="1"/>
  <c r="R20" i="17"/>
  <c r="P22" i="17"/>
  <c r="R22" i="17" s="1"/>
  <c r="P23" i="17"/>
  <c r="R23" i="17" s="1"/>
  <c r="P26" i="17"/>
  <c r="R26" i="17" s="1"/>
  <c r="P27" i="17"/>
  <c r="R27" i="17" s="1"/>
  <c r="P28" i="17"/>
  <c r="R28" i="17" s="1"/>
  <c r="P32" i="17"/>
  <c r="R32" i="17" s="1"/>
  <c r="P15" i="18"/>
  <c r="R15" i="18" s="1"/>
  <c r="P16" i="18"/>
  <c r="R16" i="18" s="1"/>
  <c r="P18" i="18"/>
  <c r="R18" i="18" s="1"/>
  <c r="P19" i="18"/>
  <c r="R19" i="18" s="1"/>
  <c r="R20" i="18"/>
  <c r="P22" i="18"/>
  <c r="R22" i="18" s="1"/>
  <c r="P23" i="18"/>
  <c r="R23" i="18" s="1"/>
  <c r="P26" i="18"/>
  <c r="R26" i="18" s="1"/>
  <c r="P27" i="18"/>
  <c r="R27" i="18" s="1"/>
  <c r="P28" i="18"/>
  <c r="R28" i="18" s="1"/>
  <c r="P32" i="18"/>
  <c r="R32" i="18" s="1"/>
  <c r="P15" i="19"/>
  <c r="R15" i="19" s="1"/>
  <c r="P16" i="19"/>
  <c r="R16" i="19" s="1"/>
  <c r="P18" i="19"/>
  <c r="R18" i="19" s="1"/>
  <c r="P19" i="19"/>
  <c r="R19" i="19" s="1"/>
  <c r="R20" i="19"/>
  <c r="P22" i="19"/>
  <c r="R22" i="19" s="1"/>
  <c r="P23" i="19"/>
  <c r="R23" i="19" s="1"/>
  <c r="P26" i="19"/>
  <c r="R26" i="19" s="1"/>
  <c r="P27" i="19"/>
  <c r="R27" i="19" s="1"/>
  <c r="P28" i="19"/>
  <c r="R28" i="19" s="1"/>
  <c r="P32" i="19"/>
  <c r="R32" i="19" s="1"/>
  <c r="P15" i="20"/>
  <c r="R15" i="20" s="1"/>
  <c r="P16" i="20"/>
  <c r="R16" i="20" s="1"/>
  <c r="P18" i="20"/>
  <c r="R18" i="20" s="1"/>
  <c r="P19" i="20"/>
  <c r="R19" i="20" s="1"/>
  <c r="R20" i="20"/>
  <c r="P22" i="20"/>
  <c r="R22" i="20" s="1"/>
  <c r="P23" i="20"/>
  <c r="R23" i="20" s="1"/>
  <c r="P26" i="20"/>
  <c r="R26" i="20" s="1"/>
  <c r="P27" i="20"/>
  <c r="R27" i="20" s="1"/>
  <c r="P28" i="20"/>
  <c r="R28" i="20" s="1"/>
  <c r="P32" i="20"/>
  <c r="R32" i="20" s="1"/>
  <c r="P15" i="21"/>
  <c r="R15" i="21" s="1"/>
  <c r="P16" i="21"/>
  <c r="R16" i="21" s="1"/>
  <c r="P18" i="21"/>
  <c r="R18" i="21" s="1"/>
  <c r="P19" i="21"/>
  <c r="R19" i="21" s="1"/>
  <c r="R20" i="21"/>
  <c r="P22" i="21"/>
  <c r="R22" i="21" s="1"/>
  <c r="P23" i="21"/>
  <c r="R23" i="21" s="1"/>
  <c r="P26" i="21"/>
  <c r="R26" i="21" s="1"/>
  <c r="P27" i="21"/>
  <c r="R27" i="21" s="1"/>
  <c r="P28" i="21"/>
  <c r="R28" i="21" s="1"/>
  <c r="P32" i="21"/>
  <c r="R32" i="21" s="1"/>
  <c r="P15" i="22"/>
  <c r="R15" i="22" s="1"/>
  <c r="P16" i="22"/>
  <c r="R16" i="22" s="1"/>
  <c r="P18" i="22"/>
  <c r="R18" i="22" s="1"/>
  <c r="P19" i="22"/>
  <c r="R19" i="22" s="1"/>
  <c r="R20" i="22"/>
  <c r="P22" i="22"/>
  <c r="R22" i="22" s="1"/>
  <c r="P23" i="22"/>
  <c r="R23" i="22" s="1"/>
  <c r="P26" i="22"/>
  <c r="R26" i="22" s="1"/>
  <c r="P27" i="22"/>
  <c r="R27" i="22" s="1"/>
  <c r="P28" i="22"/>
  <c r="R28" i="22" s="1"/>
  <c r="P32" i="22"/>
  <c r="R32" i="22" s="1"/>
  <c r="P15" i="23"/>
  <c r="R15" i="23" s="1"/>
  <c r="P16" i="23"/>
  <c r="R16" i="23" s="1"/>
  <c r="P18" i="23"/>
  <c r="R18" i="23" s="1"/>
  <c r="P19" i="23"/>
  <c r="R19" i="23" s="1"/>
  <c r="R20" i="23"/>
  <c r="P22" i="23"/>
  <c r="R22" i="23" s="1"/>
  <c r="P23" i="23"/>
  <c r="R23" i="23" s="1"/>
  <c r="P26" i="23"/>
  <c r="R26" i="23" s="1"/>
  <c r="P27" i="23"/>
  <c r="R27" i="23" s="1"/>
  <c r="P28" i="23"/>
  <c r="R28" i="23" s="1"/>
  <c r="P32" i="23"/>
  <c r="R32" i="23" s="1"/>
  <c r="P15" i="24"/>
  <c r="R15" i="24" s="1"/>
  <c r="P16" i="24"/>
  <c r="R16" i="24" s="1"/>
  <c r="P18" i="24"/>
  <c r="R18" i="24" s="1"/>
  <c r="P19" i="24"/>
  <c r="R19" i="24" s="1"/>
  <c r="R20" i="24"/>
  <c r="P22" i="24"/>
  <c r="R22" i="24" s="1"/>
  <c r="P23" i="24"/>
  <c r="R23" i="24" s="1"/>
  <c r="P26" i="24"/>
  <c r="R26" i="24" s="1"/>
  <c r="P27" i="24"/>
  <c r="R27" i="24" s="1"/>
  <c r="P28" i="24"/>
  <c r="R28" i="24" s="1"/>
  <c r="P32" i="24"/>
  <c r="R32" i="24" s="1"/>
  <c r="H17" i="2"/>
  <c r="H17" i="4"/>
  <c r="H17" i="6"/>
  <c r="H17" i="8"/>
  <c r="H17" i="10"/>
  <c r="H17" i="12"/>
  <c r="H17" i="14"/>
  <c r="H17" i="16"/>
  <c r="H17" i="18"/>
  <c r="H17" i="20"/>
  <c r="H17" i="22"/>
  <c r="H17" i="24"/>
  <c r="Q24" i="2"/>
  <c r="Q24" i="3"/>
  <c r="Q24" i="4"/>
  <c r="Q24" i="5"/>
  <c r="Q24" i="6"/>
  <c r="Q24" i="7"/>
  <c r="Q24" i="8"/>
  <c r="Q24" i="9"/>
  <c r="Q24" i="10"/>
  <c r="Q24" i="11"/>
  <c r="Q24" i="12"/>
  <c r="Q24" i="13"/>
  <c r="Q24" i="14"/>
  <c r="Q24" i="15"/>
  <c r="Q24" i="16"/>
  <c r="Q24" i="17"/>
  <c r="Q24" i="18"/>
  <c r="Q24" i="19"/>
  <c r="Q24" i="20"/>
  <c r="Q24" i="21"/>
  <c r="Q24" i="22"/>
  <c r="Q24" i="23"/>
  <c r="Q24" i="24"/>
  <c r="Q24" i="1"/>
  <c r="Q17" i="2"/>
  <c r="Q17" i="3"/>
  <c r="Q17" i="4"/>
  <c r="Q17" i="5"/>
  <c r="Q17" i="6"/>
  <c r="Q17" i="7"/>
  <c r="Q17" i="8"/>
  <c r="Q17" i="9"/>
  <c r="Q17" i="10"/>
  <c r="Q17" i="11"/>
  <c r="Q17" i="12"/>
  <c r="Q17" i="13"/>
  <c r="Q17" i="14"/>
  <c r="Q17" i="15"/>
  <c r="Q17" i="16"/>
  <c r="Q17" i="17"/>
  <c r="Q17" i="18"/>
  <c r="Q17" i="19"/>
  <c r="Q17" i="20"/>
  <c r="Q17" i="21"/>
  <c r="Q17" i="22"/>
  <c r="Q17" i="23"/>
  <c r="Q17" i="24"/>
  <c r="Q17" i="1"/>
  <c r="M24" i="2"/>
  <c r="M24" i="3"/>
  <c r="N24" i="3"/>
  <c r="M24" i="4"/>
  <c r="V18" i="4" s="1"/>
  <c r="W18" i="4" s="1"/>
  <c r="N24" i="4"/>
  <c r="M24" i="5"/>
  <c r="V18" i="5" s="1"/>
  <c r="W18" i="5" s="1"/>
  <c r="N24" i="5"/>
  <c r="M24" i="6"/>
  <c r="V18" i="6" s="1"/>
  <c r="W18" i="6" s="1"/>
  <c r="N24" i="6"/>
  <c r="M24" i="7"/>
  <c r="N24" i="7"/>
  <c r="M24" i="8"/>
  <c r="V18" i="8" s="1"/>
  <c r="W18" i="8" s="1"/>
  <c r="N24" i="8"/>
  <c r="M24" i="9"/>
  <c r="V18" i="9" s="1"/>
  <c r="W18" i="9" s="1"/>
  <c r="N24" i="9"/>
  <c r="M24" i="10"/>
  <c r="N24" i="10"/>
  <c r="M24" i="11"/>
  <c r="V18" i="11" s="1"/>
  <c r="W18" i="11" s="1"/>
  <c r="N24" i="11"/>
  <c r="M24" i="12"/>
  <c r="V18" i="12" s="1"/>
  <c r="W18" i="12" s="1"/>
  <c r="N24" i="12"/>
  <c r="M24" i="13"/>
  <c r="V18" i="13" s="1"/>
  <c r="W18" i="13" s="1"/>
  <c r="N24" i="13"/>
  <c r="M24" i="14"/>
  <c r="N24" i="14"/>
  <c r="M24" i="15"/>
  <c r="V18" i="15" s="1"/>
  <c r="W18" i="15" s="1"/>
  <c r="N24" i="15"/>
  <c r="M24" i="16"/>
  <c r="V18" i="16" s="1"/>
  <c r="W18" i="16" s="1"/>
  <c r="N24" i="16"/>
  <c r="M24" i="17"/>
  <c r="V18" i="17" s="1"/>
  <c r="N24" i="17"/>
  <c r="M24" i="18"/>
  <c r="V18" i="18" s="1"/>
  <c r="W18" i="18" s="1"/>
  <c r="N24" i="18"/>
  <c r="M24" i="19"/>
  <c r="V18" i="19" s="1"/>
  <c r="W18" i="19" s="1"/>
  <c r="N24" i="19"/>
  <c r="M24" i="20"/>
  <c r="V18" i="20" s="1"/>
  <c r="N24" i="20"/>
  <c r="M24" i="21"/>
  <c r="V18" i="21" s="1"/>
  <c r="W18" i="21" s="1"/>
  <c r="N24" i="21"/>
  <c r="M24" i="22"/>
  <c r="V18" i="22" s="1"/>
  <c r="W18" i="22" s="1"/>
  <c r="N24" i="22"/>
  <c r="M24" i="23"/>
  <c r="V18" i="23" s="1"/>
  <c r="N24" i="23"/>
  <c r="M24" i="24"/>
  <c r="V18" i="24" s="1"/>
  <c r="W18" i="24" s="1"/>
  <c r="N24" i="24"/>
  <c r="M24" i="1"/>
  <c r="V18" i="1" s="1"/>
  <c r="N17" i="3"/>
  <c r="N17" i="4"/>
  <c r="N17" i="5"/>
  <c r="N17" i="6"/>
  <c r="N17" i="7"/>
  <c r="N17" i="8"/>
  <c r="N17" i="9"/>
  <c r="N17" i="10"/>
  <c r="N17" i="11"/>
  <c r="N17" i="12"/>
  <c r="N17" i="13"/>
  <c r="N17" i="14"/>
  <c r="N17" i="15"/>
  <c r="N17" i="16"/>
  <c r="N17" i="17"/>
  <c r="N17" i="18"/>
  <c r="N17" i="19"/>
  <c r="N17" i="20"/>
  <c r="N17" i="21"/>
  <c r="N17" i="22"/>
  <c r="N17" i="23"/>
  <c r="N17" i="24"/>
  <c r="M17" i="1"/>
  <c r="J24" i="2"/>
  <c r="J24" i="3"/>
  <c r="K24" i="3"/>
  <c r="J24" i="4"/>
  <c r="K24" i="4"/>
  <c r="J24" i="5"/>
  <c r="K24" i="5"/>
  <c r="J24" i="6"/>
  <c r="K24" i="6"/>
  <c r="J24" i="7"/>
  <c r="K24" i="7"/>
  <c r="J24" i="9"/>
  <c r="K24" i="9"/>
  <c r="J24" i="10"/>
  <c r="K24" i="10"/>
  <c r="J24" i="11"/>
  <c r="K24" i="11"/>
  <c r="J24" i="12"/>
  <c r="K24" i="12"/>
  <c r="J24" i="13"/>
  <c r="K24" i="13"/>
  <c r="J24" i="14"/>
  <c r="K24" i="14"/>
  <c r="J24" i="15"/>
  <c r="K24" i="15"/>
  <c r="J24" i="16"/>
  <c r="K24" i="16"/>
  <c r="J24" i="17"/>
  <c r="K24" i="17"/>
  <c r="J24" i="18"/>
  <c r="K24" i="18"/>
  <c r="J24" i="19"/>
  <c r="K24" i="19"/>
  <c r="J24" i="20"/>
  <c r="K24" i="20"/>
  <c r="J24" i="21"/>
  <c r="K24" i="21"/>
  <c r="J24" i="22"/>
  <c r="K24" i="22"/>
  <c r="J24" i="23"/>
  <c r="K24" i="23"/>
  <c r="J24" i="24"/>
  <c r="K24" i="24"/>
  <c r="J24" i="1"/>
  <c r="J17" i="2"/>
  <c r="K17" i="2"/>
  <c r="J17" i="3"/>
  <c r="K17" i="3"/>
  <c r="J17" i="4"/>
  <c r="K17" i="4"/>
  <c r="J17" i="5"/>
  <c r="K17" i="5"/>
  <c r="J17" i="6"/>
  <c r="K17" i="6"/>
  <c r="J17" i="7"/>
  <c r="K17" i="7"/>
  <c r="J17" i="9"/>
  <c r="K17" i="9"/>
  <c r="J17" i="10"/>
  <c r="K17" i="10"/>
  <c r="J17" i="12"/>
  <c r="K17" i="12"/>
  <c r="J17" i="13"/>
  <c r="K17" i="13"/>
  <c r="J17" i="14"/>
  <c r="K17" i="14"/>
  <c r="J17" i="15"/>
  <c r="K17" i="15"/>
  <c r="J17" i="16"/>
  <c r="K17" i="16"/>
  <c r="J17" i="17"/>
  <c r="K17" i="17"/>
  <c r="J17" i="18"/>
  <c r="K17" i="18"/>
  <c r="J17" i="19"/>
  <c r="K17" i="19"/>
  <c r="J17" i="20"/>
  <c r="K17" i="20"/>
  <c r="J17" i="21"/>
  <c r="K17" i="21"/>
  <c r="J17" i="22"/>
  <c r="K17" i="22"/>
  <c r="J17" i="23"/>
  <c r="K17" i="23"/>
  <c r="J17" i="24"/>
  <c r="K17" i="24"/>
  <c r="J17" i="1"/>
  <c r="G17" i="1"/>
  <c r="Q14" i="2"/>
  <c r="Q14" i="3"/>
  <c r="Q14" i="4"/>
  <c r="Q14" i="5"/>
  <c r="Q14" i="6"/>
  <c r="Q14" i="7"/>
  <c r="Q14" i="8"/>
  <c r="Q14" i="9"/>
  <c r="Q14" i="10"/>
  <c r="Q14" i="11"/>
  <c r="Q14" i="12"/>
  <c r="Q14" i="13"/>
  <c r="Q14" i="14"/>
  <c r="Q14" i="15"/>
  <c r="Q14" i="16"/>
  <c r="Q14" i="17"/>
  <c r="Q14" i="18"/>
  <c r="Q14" i="19"/>
  <c r="Q14" i="20"/>
  <c r="Q14" i="21"/>
  <c r="Q14" i="22"/>
  <c r="Q44" i="22" s="1"/>
  <c r="Q14" i="23"/>
  <c r="Q14" i="24"/>
  <c r="Q14" i="1"/>
  <c r="M14" i="2"/>
  <c r="M14" i="3"/>
  <c r="N14" i="3"/>
  <c r="M14" i="4"/>
  <c r="N14" i="4"/>
  <c r="M14" i="5"/>
  <c r="N14" i="5"/>
  <c r="M14" i="6"/>
  <c r="N14" i="6"/>
  <c r="M14" i="7"/>
  <c r="N14" i="7"/>
  <c r="M14" i="8"/>
  <c r="N14" i="8"/>
  <c r="M14" i="9"/>
  <c r="N14" i="9"/>
  <c r="M14" i="10"/>
  <c r="N14" i="10"/>
  <c r="M14" i="11"/>
  <c r="N14" i="11"/>
  <c r="M14" i="12"/>
  <c r="N14" i="12"/>
  <c r="M14" i="13"/>
  <c r="N14" i="13"/>
  <c r="M14" i="14"/>
  <c r="N14" i="14"/>
  <c r="M14" i="15"/>
  <c r="N14" i="15"/>
  <c r="M14" i="16"/>
  <c r="N14" i="16"/>
  <c r="M14" i="17"/>
  <c r="N14" i="17"/>
  <c r="M14" i="18"/>
  <c r="N14" i="18"/>
  <c r="M14" i="19"/>
  <c r="N14" i="19"/>
  <c r="M14" i="20"/>
  <c r="N14" i="20"/>
  <c r="M14" i="21"/>
  <c r="N14" i="21"/>
  <c r="M14" i="22"/>
  <c r="N14" i="22"/>
  <c r="M14" i="23"/>
  <c r="N14" i="23"/>
  <c r="M14" i="24"/>
  <c r="N14" i="24"/>
  <c r="M14" i="1"/>
  <c r="J14" i="2"/>
  <c r="K14" i="2"/>
  <c r="J14" i="3"/>
  <c r="K14" i="3"/>
  <c r="J14" i="4"/>
  <c r="K14" i="4"/>
  <c r="J14" i="5"/>
  <c r="J14" i="6"/>
  <c r="K14" i="6"/>
  <c r="J14" i="7"/>
  <c r="K14" i="7"/>
  <c r="K44" i="8"/>
  <c r="J14" i="9"/>
  <c r="K14" i="9"/>
  <c r="J14" i="10"/>
  <c r="K14" i="10"/>
  <c r="J14" i="11"/>
  <c r="K14" i="11"/>
  <c r="J14" i="12"/>
  <c r="K14" i="12"/>
  <c r="J14" i="13"/>
  <c r="K14" i="13"/>
  <c r="J14" i="14"/>
  <c r="K14" i="14"/>
  <c r="J14" i="15"/>
  <c r="K14" i="15"/>
  <c r="J14" i="16"/>
  <c r="K14" i="16"/>
  <c r="J14" i="17"/>
  <c r="K14" i="17"/>
  <c r="J14" i="18"/>
  <c r="K14" i="18"/>
  <c r="J14" i="19"/>
  <c r="K14" i="19"/>
  <c r="J14" i="20"/>
  <c r="K14" i="20"/>
  <c r="J14" i="21"/>
  <c r="K14" i="21"/>
  <c r="J14" i="22"/>
  <c r="K14" i="22"/>
  <c r="J14" i="23"/>
  <c r="K14" i="23"/>
  <c r="J14" i="24"/>
  <c r="K14" i="24"/>
  <c r="J14" i="1"/>
  <c r="G14" i="1"/>
  <c r="G44" i="1" s="1"/>
  <c r="G10" i="1" s="1"/>
  <c r="Q10" i="4"/>
  <c r="R10" i="4" s="1"/>
  <c r="Q10" i="5"/>
  <c r="R10" i="5" s="1"/>
  <c r="Q10" i="6"/>
  <c r="R10" i="6" s="1"/>
  <c r="Q10" i="7"/>
  <c r="R10" i="7" s="1"/>
  <c r="Q10" i="9"/>
  <c r="R10" i="9" s="1"/>
  <c r="Q10" i="10"/>
  <c r="R10" i="10" s="1"/>
  <c r="Q10" i="12"/>
  <c r="R10" i="12" s="1"/>
  <c r="Q10" i="13"/>
  <c r="R10" i="13" s="1"/>
  <c r="Q10" i="14"/>
  <c r="R10" i="14" s="1"/>
  <c r="Q10" i="15"/>
  <c r="R10" i="15" s="1"/>
  <c r="Q10" i="16"/>
  <c r="R10" i="16" s="1"/>
  <c r="Q10" i="18"/>
  <c r="R10" i="18" s="1"/>
  <c r="Q10" i="20"/>
  <c r="R10" i="20" s="1"/>
  <c r="Q10" i="21"/>
  <c r="R10" i="21" s="1"/>
  <c r="Q10" i="22"/>
  <c r="R10" i="22" s="1"/>
  <c r="Q10" i="23"/>
  <c r="R10" i="23" s="1"/>
  <c r="Q10" i="24"/>
  <c r="R10" i="24" s="1"/>
  <c r="K8" i="2"/>
  <c r="N8" i="2" s="1"/>
  <c r="R8" i="2" s="1"/>
  <c r="K8" i="3"/>
  <c r="N8" i="3" s="1"/>
  <c r="R8" i="3" s="1"/>
  <c r="K8" i="4"/>
  <c r="N8" i="4" s="1"/>
  <c r="R8" i="4" s="1"/>
  <c r="K8" i="5"/>
  <c r="N8" i="5" s="1"/>
  <c r="R8" i="5" s="1"/>
  <c r="K8" i="6"/>
  <c r="N8" i="6" s="1"/>
  <c r="R8" i="6" s="1"/>
  <c r="K8" i="7"/>
  <c r="N8" i="7" s="1"/>
  <c r="R8" i="7" s="1"/>
  <c r="K8" i="8"/>
  <c r="N8" i="8" s="1"/>
  <c r="R8" i="8" s="1"/>
  <c r="K8" i="9"/>
  <c r="N8" i="9" s="1"/>
  <c r="R8" i="9" s="1"/>
  <c r="K8" i="10"/>
  <c r="N8" i="10" s="1"/>
  <c r="R8" i="10" s="1"/>
  <c r="K8" i="11"/>
  <c r="N8" i="11" s="1"/>
  <c r="R8" i="11" s="1"/>
  <c r="K8" i="12"/>
  <c r="N8" i="12" s="1"/>
  <c r="R8" i="12" s="1"/>
  <c r="K8" i="13"/>
  <c r="N8" i="13" s="1"/>
  <c r="R8" i="13" s="1"/>
  <c r="K8" i="14"/>
  <c r="N8" i="14" s="1"/>
  <c r="R8" i="14" s="1"/>
  <c r="K8" i="15"/>
  <c r="N8" i="15" s="1"/>
  <c r="R8" i="15" s="1"/>
  <c r="K8" i="16"/>
  <c r="N8" i="16" s="1"/>
  <c r="R8" i="16" s="1"/>
  <c r="K8" i="17"/>
  <c r="N8" i="17" s="1"/>
  <c r="R8" i="17" s="1"/>
  <c r="K8" i="18"/>
  <c r="N8" i="18" s="1"/>
  <c r="R8" i="18" s="1"/>
  <c r="K8" i="19"/>
  <c r="N8" i="19" s="1"/>
  <c r="R8" i="19" s="1"/>
  <c r="K8" i="20"/>
  <c r="N8" i="20" s="1"/>
  <c r="R8" i="20" s="1"/>
  <c r="K8" i="21"/>
  <c r="N8" i="21" s="1"/>
  <c r="R8" i="21" s="1"/>
  <c r="K8" i="22"/>
  <c r="N8" i="22" s="1"/>
  <c r="R8" i="22" s="1"/>
  <c r="K8" i="23"/>
  <c r="N8" i="23" s="1"/>
  <c r="R8" i="23" s="1"/>
  <c r="K8" i="24"/>
  <c r="N8" i="24" s="1"/>
  <c r="R8" i="24" s="1"/>
  <c r="K8" i="1"/>
  <c r="N8" i="1" s="1"/>
  <c r="R8" i="1" s="1"/>
  <c r="I24" i="17"/>
  <c r="I17" i="17"/>
  <c r="Q44" i="2" l="1"/>
  <c r="Q44" i="18"/>
  <c r="Q44" i="14"/>
  <c r="Q44" i="6"/>
  <c r="Q44" i="10"/>
  <c r="K44" i="10"/>
  <c r="N44" i="20"/>
  <c r="N44" i="16"/>
  <c r="N44" i="12"/>
  <c r="Q44" i="21"/>
  <c r="Q44" i="17"/>
  <c r="Q44" i="13"/>
  <c r="Q44" i="9"/>
  <c r="Q44" i="5"/>
  <c r="N44" i="24"/>
  <c r="K44" i="3"/>
  <c r="N44" i="19"/>
  <c r="N44" i="17"/>
  <c r="N44" i="13"/>
  <c r="N44" i="7"/>
  <c r="N44" i="5"/>
  <c r="Q44" i="24"/>
  <c r="Q44" i="20"/>
  <c r="Q44" i="16"/>
  <c r="Q44" i="12"/>
  <c r="Q44" i="8"/>
  <c r="Q44" i="4"/>
  <c r="N44" i="3"/>
  <c r="K44" i="23"/>
  <c r="K44" i="21"/>
  <c r="K44" i="19"/>
  <c r="K44" i="17"/>
  <c r="K44" i="15"/>
  <c r="K44" i="13"/>
  <c r="K44" i="11"/>
  <c r="K44" i="7"/>
  <c r="K44" i="24"/>
  <c r="K44" i="22"/>
  <c r="K44" i="20"/>
  <c r="K44" i="18"/>
  <c r="K44" i="16"/>
  <c r="K44" i="14"/>
  <c r="K44" i="12"/>
  <c r="K44" i="9"/>
  <c r="K44" i="4"/>
  <c r="K44" i="2"/>
  <c r="R14" i="11"/>
  <c r="R14" i="7"/>
  <c r="Q44" i="1"/>
  <c r="Q44" i="19"/>
  <c r="Q44" i="15"/>
  <c r="Q44" i="7"/>
  <c r="N44" i="22"/>
  <c r="N44" i="14"/>
  <c r="M44" i="24"/>
  <c r="M10" i="24" s="1"/>
  <c r="N10" i="24" s="1"/>
  <c r="M44" i="20"/>
  <c r="M10" i="20" s="1"/>
  <c r="N10" i="20" s="1"/>
  <c r="M44" i="16"/>
  <c r="M10" i="16" s="1"/>
  <c r="N10" i="16" s="1"/>
  <c r="M44" i="14"/>
  <c r="M10" i="14" s="1"/>
  <c r="N10" i="14" s="1"/>
  <c r="M44" i="12"/>
  <c r="M10" i="12" s="1"/>
  <c r="N10" i="12" s="1"/>
  <c r="M44" i="10"/>
  <c r="M10" i="10" s="1"/>
  <c r="N10" i="10" s="1"/>
  <c r="M44" i="8"/>
  <c r="M10" i="8" s="1"/>
  <c r="N10" i="8" s="1"/>
  <c r="M44" i="6"/>
  <c r="M10" i="6" s="1"/>
  <c r="N10" i="6" s="1"/>
  <c r="Q44" i="23"/>
  <c r="Q44" i="3"/>
  <c r="J44" i="7"/>
  <c r="J10" i="7" s="1"/>
  <c r="K10" i="7" s="1"/>
  <c r="M44" i="22"/>
  <c r="M10" i="22" s="1"/>
  <c r="N10" i="22" s="1"/>
  <c r="M44" i="18"/>
  <c r="M10" i="18" s="1"/>
  <c r="N10" i="18" s="1"/>
  <c r="J44" i="23"/>
  <c r="J10" i="23" s="1"/>
  <c r="K10" i="23" s="1"/>
  <c r="J44" i="21"/>
  <c r="J10" i="21" s="1"/>
  <c r="K10" i="21" s="1"/>
  <c r="J44" i="19"/>
  <c r="J10" i="19" s="1"/>
  <c r="K10" i="19" s="1"/>
  <c r="J44" i="17"/>
  <c r="J10" i="17" s="1"/>
  <c r="K10" i="17" s="1"/>
  <c r="J44" i="15"/>
  <c r="J10" i="15" s="1"/>
  <c r="K10" i="15" s="1"/>
  <c r="J44" i="13"/>
  <c r="J10" i="13" s="1"/>
  <c r="K10" i="13" s="1"/>
  <c r="J44" i="11"/>
  <c r="J10" i="11" s="1"/>
  <c r="K10" i="11" s="1"/>
  <c r="J44" i="9"/>
  <c r="J10" i="9" s="1"/>
  <c r="K10" i="9" s="1"/>
  <c r="K44" i="6"/>
  <c r="J44" i="2"/>
  <c r="J10" i="2" s="1"/>
  <c r="K10" i="2" s="1"/>
  <c r="K44" i="5"/>
  <c r="J44" i="6"/>
  <c r="J10" i="6" s="1"/>
  <c r="K10" i="6" s="1"/>
  <c r="M44" i="23"/>
  <c r="M10" i="23" s="1"/>
  <c r="N10" i="23" s="1"/>
  <c r="M44" i="21"/>
  <c r="M10" i="21" s="1"/>
  <c r="N10" i="21" s="1"/>
  <c r="M44" i="19"/>
  <c r="M10" i="19" s="1"/>
  <c r="N10" i="19" s="1"/>
  <c r="M44" i="17"/>
  <c r="M10" i="17" s="1"/>
  <c r="N10" i="17" s="1"/>
  <c r="M44" i="15"/>
  <c r="M10" i="15" s="1"/>
  <c r="N10" i="15" s="1"/>
  <c r="M44" i="13"/>
  <c r="M10" i="13" s="1"/>
  <c r="N10" i="13" s="1"/>
  <c r="M44" i="11"/>
  <c r="M10" i="11" s="1"/>
  <c r="N10" i="11" s="1"/>
  <c r="M44" i="9"/>
  <c r="M10" i="9" s="1"/>
  <c r="N10" i="9" s="1"/>
  <c r="M44" i="7"/>
  <c r="M10" i="7" s="1"/>
  <c r="N10" i="7" s="1"/>
  <c r="M44" i="5"/>
  <c r="M10" i="5" s="1"/>
  <c r="N10" i="5" s="1"/>
  <c r="M44" i="3"/>
  <c r="M10" i="3" s="1"/>
  <c r="N10" i="3" s="1"/>
  <c r="Q10" i="11"/>
  <c r="R10" i="11" s="1"/>
  <c r="Q44" i="11"/>
  <c r="I44" i="17"/>
  <c r="I45" i="17" s="1"/>
  <c r="J44" i="24"/>
  <c r="J10" i="24" s="1"/>
  <c r="K10" i="24" s="1"/>
  <c r="J44" i="22"/>
  <c r="J10" i="22" s="1"/>
  <c r="K10" i="22" s="1"/>
  <c r="J44" i="20"/>
  <c r="J10" i="20" s="1"/>
  <c r="K10" i="20" s="1"/>
  <c r="J44" i="18"/>
  <c r="J10" i="18" s="1"/>
  <c r="K10" i="18" s="1"/>
  <c r="J44" i="16"/>
  <c r="J10" i="16" s="1"/>
  <c r="K10" i="16" s="1"/>
  <c r="J44" i="14"/>
  <c r="J10" i="14" s="1"/>
  <c r="K10" i="14" s="1"/>
  <c r="J44" i="12"/>
  <c r="J10" i="12" s="1"/>
  <c r="K10" i="12" s="1"/>
  <c r="J44" i="10"/>
  <c r="J10" i="10" s="1"/>
  <c r="K10" i="10" s="1"/>
  <c r="J44" i="5"/>
  <c r="J10" i="5" s="1"/>
  <c r="K10" i="5" s="1"/>
  <c r="J44" i="3"/>
  <c r="J10" i="3" s="1"/>
  <c r="K10" i="3" s="1"/>
  <c r="M44" i="2"/>
  <c r="M10" i="2" s="1"/>
  <c r="N10" i="2" s="1"/>
  <c r="N44" i="21"/>
  <c r="N44" i="18"/>
  <c r="N44" i="11"/>
  <c r="N44" i="9"/>
  <c r="N44" i="6"/>
  <c r="N44" i="23"/>
  <c r="R14" i="22"/>
  <c r="R14" i="18"/>
  <c r="R14" i="17"/>
  <c r="N44" i="15"/>
  <c r="N44" i="10"/>
  <c r="N44" i="8"/>
  <c r="N44" i="4"/>
  <c r="J44" i="4"/>
  <c r="J10" i="4" s="1"/>
  <c r="K10" i="4" s="1"/>
  <c r="M44" i="4"/>
  <c r="M10" i="4" s="1"/>
  <c r="N10" i="4" s="1"/>
  <c r="J44" i="1"/>
  <c r="J10" i="1" s="1"/>
  <c r="K10" i="1" s="1"/>
  <c r="M44" i="1"/>
  <c r="M10" i="1" s="1"/>
  <c r="N10" i="1" s="1"/>
  <c r="Q10" i="3"/>
  <c r="R10" i="3" s="1"/>
  <c r="Q10" i="19"/>
  <c r="R10" i="19" s="1"/>
  <c r="Q10" i="17"/>
  <c r="R10" i="17" s="1"/>
  <c r="Q10" i="1"/>
  <c r="R14" i="15"/>
  <c r="K10" i="8"/>
  <c r="Q10" i="8"/>
  <c r="R10" i="8" s="1"/>
  <c r="Q10" i="2"/>
  <c r="H10" i="2"/>
  <c r="R14" i="2"/>
  <c r="R14" i="5"/>
  <c r="R14" i="9"/>
  <c r="R14" i="13"/>
  <c r="R14" i="19"/>
  <c r="R14" i="21"/>
  <c r="R14" i="3"/>
  <c r="R14" i="23"/>
  <c r="R14" i="20"/>
  <c r="R14" i="24"/>
  <c r="H17" i="23"/>
  <c r="H17" i="21"/>
  <c r="H17" i="19"/>
  <c r="H17" i="17"/>
  <c r="H17" i="15"/>
  <c r="H17" i="13"/>
  <c r="H17" i="11"/>
  <c r="H17" i="9"/>
  <c r="H17" i="7"/>
  <c r="H17" i="5"/>
  <c r="H17" i="3"/>
  <c r="R14" i="4"/>
  <c r="R14" i="8"/>
  <c r="R14" i="10"/>
  <c r="R14" i="12"/>
  <c r="R14" i="14"/>
  <c r="R14" i="16"/>
  <c r="H10" i="1"/>
  <c r="P14" i="15"/>
  <c r="P14" i="13"/>
  <c r="P14" i="24"/>
  <c r="P14" i="22"/>
  <c r="P14" i="19"/>
  <c r="P14" i="18"/>
  <c r="P14" i="17"/>
  <c r="P14" i="7"/>
  <c r="I7" i="24"/>
  <c r="L7" i="24"/>
  <c r="I17" i="24"/>
  <c r="I24" i="24"/>
  <c r="I7" i="23"/>
  <c r="L7" i="23"/>
  <c r="P14" i="23"/>
  <c r="I17" i="23"/>
  <c r="I24" i="23"/>
  <c r="I7" i="22"/>
  <c r="L7" i="22"/>
  <c r="I17" i="22"/>
  <c r="I24" i="22"/>
  <c r="I7" i="21"/>
  <c r="L7" i="21"/>
  <c r="P14" i="21"/>
  <c r="I17" i="21"/>
  <c r="I24" i="21"/>
  <c r="I7" i="20"/>
  <c r="L7" i="20"/>
  <c r="I17" i="20"/>
  <c r="I24" i="20"/>
  <c r="I7" i="19"/>
  <c r="L7" i="19"/>
  <c r="I17" i="19"/>
  <c r="I24" i="19"/>
  <c r="I7" i="18"/>
  <c r="L7" i="18"/>
  <c r="I17" i="18"/>
  <c r="I24" i="18"/>
  <c r="I7" i="17"/>
  <c r="L7" i="17"/>
  <c r="I7" i="16"/>
  <c r="L7" i="16"/>
  <c r="I17" i="16"/>
  <c r="I24" i="16"/>
  <c r="I7" i="15"/>
  <c r="L7" i="15"/>
  <c r="I17" i="15"/>
  <c r="I24" i="15"/>
  <c r="I7" i="14"/>
  <c r="L7" i="14"/>
  <c r="I17" i="14"/>
  <c r="I24" i="14"/>
  <c r="I7" i="13"/>
  <c r="L7" i="13"/>
  <c r="I17" i="13"/>
  <c r="I24" i="13"/>
  <c r="I7" i="12"/>
  <c r="L7" i="12"/>
  <c r="I17" i="12"/>
  <c r="I24" i="12"/>
  <c r="I7" i="11"/>
  <c r="L7" i="11"/>
  <c r="I24" i="11"/>
  <c r="I44" i="11" s="1"/>
  <c r="I45" i="11" s="1"/>
  <c r="I7" i="10"/>
  <c r="L7" i="10"/>
  <c r="I17" i="10"/>
  <c r="I24" i="10"/>
  <c r="I7" i="9"/>
  <c r="L7" i="9"/>
  <c r="P14" i="9"/>
  <c r="I17" i="9"/>
  <c r="I24" i="9"/>
  <c r="I7" i="8"/>
  <c r="L7" i="8"/>
  <c r="I44" i="8"/>
  <c r="I45" i="8" s="1"/>
  <c r="R17" i="8"/>
  <c r="I7" i="7"/>
  <c r="L7" i="7"/>
  <c r="I17" i="7"/>
  <c r="I24" i="7"/>
  <c r="I7" i="6"/>
  <c r="L7" i="6"/>
  <c r="I17" i="6"/>
  <c r="I24" i="6"/>
  <c r="I7" i="5"/>
  <c r="L7" i="5"/>
  <c r="I17" i="5"/>
  <c r="I24" i="5"/>
  <c r="I7" i="4"/>
  <c r="L7" i="4"/>
  <c r="P14" i="4"/>
  <c r="I17" i="4"/>
  <c r="I24" i="4"/>
  <c r="I7" i="3"/>
  <c r="L7" i="3"/>
  <c r="P14" i="3"/>
  <c r="I17" i="3"/>
  <c r="I24" i="3"/>
  <c r="I7" i="2"/>
  <c r="L7" i="2"/>
  <c r="I17" i="2"/>
  <c r="I24" i="2"/>
  <c r="I7" i="1"/>
  <c r="L7" i="1"/>
  <c r="N15" i="1"/>
  <c r="N18" i="1"/>
  <c r="N19" i="1"/>
  <c r="N20" i="1"/>
  <c r="N22" i="1"/>
  <c r="N23" i="1"/>
  <c r="N25" i="1"/>
  <c r="N26" i="1"/>
  <c r="N27" i="1"/>
  <c r="N28" i="1"/>
  <c r="P17" i="17"/>
  <c r="P17" i="24"/>
  <c r="P17" i="14"/>
  <c r="P17" i="16"/>
  <c r="P17" i="21"/>
  <c r="I44" i="2" l="1"/>
  <c r="I44" i="10"/>
  <c r="I45" i="10" s="1"/>
  <c r="I44" i="22"/>
  <c r="I45" i="22" s="1"/>
  <c r="I44" i="23"/>
  <c r="I45" i="23" s="1"/>
  <c r="I44" i="5"/>
  <c r="I45" i="5" s="1"/>
  <c r="I44" i="6"/>
  <c r="I45" i="6" s="1"/>
  <c r="I44" i="7"/>
  <c r="I45" i="7" s="1"/>
  <c r="I44" i="9"/>
  <c r="I45" i="9" s="1"/>
  <c r="I44" i="12"/>
  <c r="I45" i="12" s="1"/>
  <c r="I44" i="13"/>
  <c r="I45" i="13" s="1"/>
  <c r="I44" i="14"/>
  <c r="I45" i="14" s="1"/>
  <c r="I44" i="15"/>
  <c r="I45" i="15" s="1"/>
  <c r="I44" i="16"/>
  <c r="I45" i="16" s="1"/>
  <c r="I44" i="24"/>
  <c r="I45" i="24" s="1"/>
  <c r="I45" i="2"/>
  <c r="I44" i="3"/>
  <c r="I45" i="3" s="1"/>
  <c r="I44" i="18"/>
  <c r="I45" i="18" s="1"/>
  <c r="I44" i="19"/>
  <c r="I45" i="19" s="1"/>
  <c r="I44" i="20"/>
  <c r="I45" i="20" s="1"/>
  <c r="I44" i="21"/>
  <c r="I45" i="21" s="1"/>
  <c r="I44" i="4"/>
  <c r="I45" i="4" s="1"/>
  <c r="R10" i="2"/>
  <c r="H17" i="1"/>
  <c r="R17" i="19"/>
  <c r="P14" i="16"/>
  <c r="P14" i="20"/>
  <c r="P14" i="8"/>
  <c r="R17" i="6"/>
  <c r="R17" i="7"/>
  <c r="R17" i="9"/>
  <c r="R17" i="10"/>
  <c r="R17" i="14"/>
  <c r="R17" i="16"/>
  <c r="R17" i="17"/>
  <c r="R17" i="21"/>
  <c r="R17" i="22"/>
  <c r="R17" i="23"/>
  <c r="R17" i="24"/>
  <c r="P14" i="14"/>
  <c r="R17" i="2"/>
  <c r="R17" i="3"/>
  <c r="R17" i="4"/>
  <c r="R17" i="5"/>
  <c r="R17" i="11"/>
  <c r="R17" i="12"/>
  <c r="R17" i="13"/>
  <c r="R17" i="15"/>
  <c r="R17" i="18"/>
  <c r="R17" i="20"/>
  <c r="N32" i="1"/>
  <c r="N24" i="1" s="1"/>
  <c r="K24" i="1"/>
  <c r="K17" i="1"/>
  <c r="N17" i="1"/>
  <c r="P17" i="18"/>
  <c r="P17" i="22"/>
  <c r="P17" i="4"/>
  <c r="P17" i="19"/>
  <c r="I17" i="1"/>
  <c r="R10" i="1"/>
  <c r="P17" i="3"/>
  <c r="P17" i="6"/>
  <c r="P17" i="7"/>
  <c r="P17" i="9"/>
  <c r="P17" i="10"/>
  <c r="P17" i="11"/>
  <c r="P17" i="12"/>
  <c r="P17" i="13"/>
  <c r="P17" i="15"/>
  <c r="P17" i="20"/>
  <c r="I24" i="1"/>
  <c r="P17" i="5"/>
  <c r="P17" i="8"/>
  <c r="P17" i="23"/>
  <c r="P14" i="5" l="1"/>
  <c r="R14" i="6"/>
  <c r="R17" i="1" l="1"/>
  <c r="N16" i="1"/>
  <c r="N14" i="1" s="1"/>
  <c r="N44" i="1" s="1"/>
  <c r="K14" i="1"/>
  <c r="H14" i="1"/>
  <c r="P14" i="10" l="1"/>
  <c r="P14" i="11"/>
  <c r="P14" i="12"/>
  <c r="P14" i="6"/>
  <c r="R14" i="1" l="1"/>
  <c r="K36" i="1"/>
  <c r="I33" i="1"/>
  <c r="I44" i="1" s="1"/>
  <c r="I45" i="1" s="1"/>
  <c r="K37" i="1"/>
  <c r="K35" i="1"/>
  <c r="K34" i="1"/>
  <c r="K33" i="1" l="1"/>
  <c r="K44" i="1" s="1"/>
  <c r="F33" i="1"/>
  <c r="H33" i="1"/>
  <c r="H25" i="22"/>
  <c r="H24" i="22" s="1"/>
  <c r="H44" i="22" s="1"/>
  <c r="H25" i="21"/>
  <c r="H24" i="21" s="1"/>
  <c r="H44" i="21" s="1"/>
  <c r="H25" i="15"/>
  <c r="H24" i="15" s="1"/>
  <c r="H44" i="15" s="1"/>
  <c r="H25" i="11"/>
  <c r="H24" i="11" s="1"/>
  <c r="H44" i="11" s="1"/>
  <c r="P25" i="21"/>
  <c r="R25" i="21" s="1"/>
  <c r="R24" i="21" s="1"/>
  <c r="R44" i="21" s="1"/>
  <c r="P25" i="18"/>
  <c r="R25" i="18" s="1"/>
  <c r="R24" i="18" s="1"/>
  <c r="R44" i="18" s="1"/>
  <c r="H25" i="8"/>
  <c r="H24" i="8" s="1"/>
  <c r="H44" i="8" s="1"/>
  <c r="P25" i="15"/>
  <c r="P24" i="15" s="1"/>
  <c r="P44" i="15" s="1"/>
  <c r="P45" i="15" s="1"/>
  <c r="P25" i="10"/>
  <c r="R25" i="10" s="1"/>
  <c r="R24" i="10" s="1"/>
  <c r="R44" i="10" s="1"/>
  <c r="P25" i="4"/>
  <c r="P24" i="4" s="1"/>
  <c r="P44" i="4" s="1"/>
  <c r="P45" i="4" s="1"/>
  <c r="F24" i="4"/>
  <c r="F44" i="4" s="1"/>
  <c r="F45" i="4" s="1"/>
  <c r="H25" i="19"/>
  <c r="H24" i="19" s="1"/>
  <c r="H44" i="19" s="1"/>
  <c r="H25" i="13"/>
  <c r="H24" i="13" s="1"/>
  <c r="H44" i="13" s="1"/>
  <c r="F24" i="19"/>
  <c r="F44" i="19" s="1"/>
  <c r="F45" i="19" s="1"/>
  <c r="F24" i="17"/>
  <c r="F24" i="5"/>
  <c r="F44" i="5" s="1"/>
  <c r="F45" i="5" s="1"/>
  <c r="F24" i="8"/>
  <c r="F44" i="8" s="1"/>
  <c r="F45" i="8" s="1"/>
  <c r="F24" i="1"/>
  <c r="H25" i="14"/>
  <c r="H24" i="14" s="1"/>
  <c r="H44" i="14" s="1"/>
  <c r="P25" i="6"/>
  <c r="P24" i="6" s="1"/>
  <c r="P44" i="6" s="1"/>
  <c r="P45" i="6" s="1"/>
  <c r="F24" i="3"/>
  <c r="F44" i="3" s="1"/>
  <c r="F45" i="3" s="1"/>
  <c r="F24" i="21"/>
  <c r="F44" i="21" s="1"/>
  <c r="F45" i="21" s="1"/>
  <c r="F24" i="23"/>
  <c r="H25" i="7"/>
  <c r="H24" i="7" s="1"/>
  <c r="H44" i="7" s="1"/>
  <c r="H25" i="12"/>
  <c r="H24" i="12" s="1"/>
  <c r="H44" i="12" s="1"/>
  <c r="R25" i="2"/>
  <c r="R24" i="2" s="1"/>
  <c r="R44" i="2" s="1"/>
  <c r="P25" i="1"/>
  <c r="R25" i="1" s="1"/>
  <c r="R24" i="1" s="1"/>
  <c r="R44" i="1" s="1"/>
  <c r="P25" i="8"/>
  <c r="P24" i="8" s="1"/>
  <c r="P44" i="8" s="1"/>
  <c r="P45" i="8" s="1"/>
  <c r="P25" i="24"/>
  <c r="R25" i="24" s="1"/>
  <c r="R24" i="24" s="1"/>
  <c r="R44" i="24" s="1"/>
  <c r="P25" i="16"/>
  <c r="R25" i="16" s="1"/>
  <c r="R24" i="16" s="1"/>
  <c r="R44" i="16" s="1"/>
  <c r="P25" i="11"/>
  <c r="R25" i="11" s="1"/>
  <c r="R24" i="11" s="1"/>
  <c r="R44" i="11" s="1"/>
  <c r="P25" i="22"/>
  <c r="P24" i="22" s="1"/>
  <c r="P44" i="22" s="1"/>
  <c r="P45" i="22" s="1"/>
  <c r="P25" i="19"/>
  <c r="P24" i="19" s="1"/>
  <c r="P44" i="19" s="1"/>
  <c r="P45" i="19" s="1"/>
  <c r="P25" i="17"/>
  <c r="P24" i="17" s="1"/>
  <c r="P44" i="17" s="1"/>
  <c r="P45" i="17" s="1"/>
  <c r="P25" i="13"/>
  <c r="P24" i="13" s="1"/>
  <c r="P44" i="13" s="1"/>
  <c r="P45" i="13" s="1"/>
  <c r="P25" i="7"/>
  <c r="P24" i="7" s="1"/>
  <c r="P44" i="7" s="1"/>
  <c r="P45" i="7" s="1"/>
  <c r="P25" i="20"/>
  <c r="P24" i="20" s="1"/>
  <c r="P44" i="20" s="1"/>
  <c r="P45" i="20" s="1"/>
  <c r="P25" i="14"/>
  <c r="P24" i="14" s="1"/>
  <c r="P44" i="14" s="1"/>
  <c r="P45" i="14" s="1"/>
  <c r="P25" i="12"/>
  <c r="P24" i="12" s="1"/>
  <c r="P44" i="12" s="1"/>
  <c r="P45" i="12" s="1"/>
  <c r="P25" i="9"/>
  <c r="R25" i="9" s="1"/>
  <c r="R24" i="9" s="1"/>
  <c r="R44" i="9" s="1"/>
  <c r="P25" i="3"/>
  <c r="P24" i="3" s="1"/>
  <c r="P44" i="3" s="1"/>
  <c r="P45" i="3" s="1"/>
  <c r="P25" i="23"/>
  <c r="P24" i="23" s="1"/>
  <c r="P44" i="23" s="1"/>
  <c r="P45" i="23" s="1"/>
  <c r="P25" i="5"/>
  <c r="P24" i="5" s="1"/>
  <c r="P44" i="5" s="1"/>
  <c r="P45" i="5" s="1"/>
  <c r="H25" i="4"/>
  <c r="H24" i="4" s="1"/>
  <c r="H44" i="4" s="1"/>
  <c r="H25" i="1"/>
  <c r="H24" i="1" s="1"/>
  <c r="H25" i="24"/>
  <c r="H24" i="24" s="1"/>
  <c r="H44" i="24" s="1"/>
  <c r="H25" i="2"/>
  <c r="H24" i="2" s="1"/>
  <c r="H44" i="2" s="1"/>
  <c r="F24" i="20"/>
  <c r="F24" i="18"/>
  <c r="F44" i="18" s="1"/>
  <c r="F45" i="18" s="1"/>
  <c r="H25" i="6"/>
  <c r="H24" i="6" s="1"/>
  <c r="H44" i="6" s="1"/>
  <c r="H25" i="18"/>
  <c r="H24" i="18" s="1"/>
  <c r="H44" i="18" s="1"/>
  <c r="H25" i="10"/>
  <c r="H24" i="10" s="1"/>
  <c r="H44" i="10" s="1"/>
  <c r="F24" i="14"/>
  <c r="F44" i="14" s="1"/>
  <c r="F45" i="14" s="1"/>
  <c r="F24" i="22"/>
  <c r="F44" i="22" s="1"/>
  <c r="F45" i="22" s="1"/>
  <c r="F24" i="12"/>
  <c r="F44" i="12" s="1"/>
  <c r="F45" i="12" s="1"/>
  <c r="H25" i="5"/>
  <c r="H24" i="5" s="1"/>
  <c r="H44" i="5" s="1"/>
  <c r="H25" i="23"/>
  <c r="H24" i="23" s="1"/>
  <c r="H44" i="23" s="1"/>
  <c r="H25" i="9"/>
  <c r="H24" i="9" s="1"/>
  <c r="H44" i="9" s="1"/>
  <c r="F24" i="15"/>
  <c r="F44" i="15" s="1"/>
  <c r="F45" i="15" s="1"/>
  <c r="H25" i="3"/>
  <c r="H24" i="3" s="1"/>
  <c r="H44" i="3" s="1"/>
  <c r="F24" i="13"/>
  <c r="F44" i="13" s="1"/>
  <c r="F45" i="13" s="1"/>
  <c r="F24" i="24"/>
  <c r="F44" i="24" s="1"/>
  <c r="F45" i="24" s="1"/>
  <c r="F24" i="16"/>
  <c r="F44" i="16" s="1"/>
  <c r="F45" i="16" s="1"/>
  <c r="F24" i="2"/>
  <c r="H25" i="17"/>
  <c r="H24" i="17" s="1"/>
  <c r="H44" i="17" s="1"/>
  <c r="F24" i="7"/>
  <c r="F44" i="7" s="1"/>
  <c r="F45" i="7" s="1"/>
  <c r="H25" i="16"/>
  <c r="H24" i="16" s="1"/>
  <c r="H44" i="16" s="1"/>
  <c r="F24" i="6"/>
  <c r="F44" i="6" s="1"/>
  <c r="F45" i="6" s="1"/>
  <c r="H25" i="20"/>
  <c r="H24" i="20" s="1"/>
  <c r="H44" i="20" s="1"/>
  <c r="F24" i="9"/>
  <c r="F44" i="9" s="1"/>
  <c r="F45" i="9" s="1"/>
  <c r="F24" i="11"/>
  <c r="F44" i="11" s="1"/>
  <c r="F45" i="11" s="1"/>
  <c r="F24" i="10"/>
  <c r="F44" i="10" s="1"/>
  <c r="F45" i="10" s="1"/>
  <c r="F44" i="17" l="1"/>
  <c r="F45" i="17" s="1"/>
  <c r="V17" i="17"/>
  <c r="V16" i="17"/>
  <c r="F44" i="23"/>
  <c r="F45" i="23" s="1"/>
  <c r="V17" i="23"/>
  <c r="V16" i="23"/>
  <c r="W18" i="23" s="1"/>
  <c r="F44" i="20"/>
  <c r="F45" i="20" s="1"/>
  <c r="V17" i="20"/>
  <c r="V16" i="20"/>
  <c r="W18" i="20" s="1"/>
  <c r="V17" i="1"/>
  <c r="V16" i="1"/>
  <c r="W18" i="1" s="1"/>
  <c r="R25" i="17"/>
  <c r="R24" i="17" s="1"/>
  <c r="R44" i="17" s="1"/>
  <c r="H44" i="1"/>
  <c r="P24" i="16"/>
  <c r="P44" i="16" s="1"/>
  <c r="P45" i="16" s="1"/>
  <c r="R25" i="14"/>
  <c r="R24" i="14" s="1"/>
  <c r="R44" i="14" s="1"/>
  <c r="R25" i="22"/>
  <c r="R24" i="22" s="1"/>
  <c r="R44" i="22" s="1"/>
  <c r="R25" i="15"/>
  <c r="R24" i="15" s="1"/>
  <c r="R44" i="15" s="1"/>
  <c r="P24" i="21"/>
  <c r="P44" i="21" s="1"/>
  <c r="P45" i="21" s="1"/>
  <c r="R25" i="23"/>
  <c r="R24" i="23" s="1"/>
  <c r="R44" i="23" s="1"/>
  <c r="P24" i="10"/>
  <c r="P44" i="10" s="1"/>
  <c r="P45" i="10" s="1"/>
  <c r="P24" i="11"/>
  <c r="P44" i="11" s="1"/>
  <c r="P45" i="11" s="1"/>
  <c r="R25" i="5"/>
  <c r="R24" i="5" s="1"/>
  <c r="R44" i="5" s="1"/>
  <c r="R25" i="6"/>
  <c r="R24" i="6" s="1"/>
  <c r="R44" i="6" s="1"/>
  <c r="P24" i="18"/>
  <c r="P44" i="18" s="1"/>
  <c r="P45" i="18" s="1"/>
  <c r="R25" i="20"/>
  <c r="R24" i="20" s="1"/>
  <c r="R44" i="20" s="1"/>
  <c r="R25" i="19"/>
  <c r="R24" i="19" s="1"/>
  <c r="R44" i="19" s="1"/>
  <c r="P24" i="24"/>
  <c r="P44" i="24" s="1"/>
  <c r="P45" i="24" s="1"/>
  <c r="R25" i="8"/>
  <c r="R24" i="8" s="1"/>
  <c r="R44" i="8" s="1"/>
  <c r="P24" i="1"/>
  <c r="P44" i="1" s="1"/>
  <c r="P45" i="1" s="1"/>
  <c r="P24" i="2"/>
  <c r="P44" i="2" s="1"/>
  <c r="P45" i="2" s="1"/>
  <c r="R25" i="4"/>
  <c r="R24" i="4" s="1"/>
  <c r="R44" i="4" s="1"/>
  <c r="P24" i="9"/>
  <c r="P44" i="9" s="1"/>
  <c r="P45" i="9" s="1"/>
  <c r="F44" i="1"/>
  <c r="F45" i="1" s="1"/>
  <c r="R25" i="3"/>
  <c r="R24" i="3" s="1"/>
  <c r="R44" i="3" s="1"/>
  <c r="R25" i="7"/>
  <c r="R24" i="7" s="1"/>
  <c r="R44" i="7" s="1"/>
  <c r="F44" i="2"/>
  <c r="F45" i="2" s="1"/>
  <c r="R25" i="12"/>
  <c r="R24" i="12" s="1"/>
  <c r="R44" i="12" s="1"/>
  <c r="R25" i="13"/>
  <c r="R24" i="13" s="1"/>
  <c r="R44" i="13" s="1"/>
  <c r="W17" i="17" l="1"/>
  <c r="W18" i="17"/>
  <c r="W17" i="23"/>
  <c r="W17" i="20"/>
  <c r="W17" i="1"/>
</calcChain>
</file>

<file path=xl/sharedStrings.xml><?xml version="1.0" encoding="utf-8"?>
<sst xmlns="http://schemas.openxmlformats.org/spreadsheetml/2006/main" count="2669" uniqueCount="170">
  <si>
    <t>Adult</t>
  </si>
  <si>
    <t>Youth</t>
  </si>
  <si>
    <t xml:space="preserve">TOTAL ADULT, YOUTH </t>
  </si>
  <si>
    <t>AND DISLOCATED</t>
  </si>
  <si>
    <t xml:space="preserve">WORKER </t>
  </si>
  <si>
    <t>Award</t>
  </si>
  <si>
    <t>INITIAL ALLOCATION</t>
  </si>
  <si>
    <t>FINAL ALLOCATION</t>
  </si>
  <si>
    <t>ALLOCATIONS</t>
  </si>
  <si>
    <t>FUNDING AVAILABLE</t>
  </si>
  <si>
    <t>Dislocated Worker</t>
  </si>
  <si>
    <t>Total LWIA</t>
  </si>
  <si>
    <t>*</t>
  </si>
  <si>
    <t>ADMINISTRATION</t>
  </si>
  <si>
    <t>A</t>
  </si>
  <si>
    <t>Admin Staff Salaries &amp; Fringe Benefits</t>
  </si>
  <si>
    <t>Operational Expenses (e.g. travel, postage, printing, etc.)</t>
  </si>
  <si>
    <t>P</t>
  </si>
  <si>
    <t>Program Staff Salaries &amp; Fringe Benefits</t>
  </si>
  <si>
    <t>Other Program Expenses</t>
  </si>
  <si>
    <t>Tuition Payments/ITA's</t>
  </si>
  <si>
    <t>On The Job (OJT) Reimbursements</t>
  </si>
  <si>
    <t>Skill Upgrade and Retraining/Customized Training</t>
  </si>
  <si>
    <t>Adult Education and Literacy Training</t>
  </si>
  <si>
    <t xml:space="preserve">Needs Related Payments </t>
  </si>
  <si>
    <t>Supportive Service Funds</t>
  </si>
  <si>
    <t xml:space="preserve">YOUTH </t>
  </si>
  <si>
    <t>OSY</t>
  </si>
  <si>
    <t>ISY</t>
  </si>
  <si>
    <t>TOTAL BUDGET</t>
  </si>
  <si>
    <t>NOO must allow for Program Costs in order to budget under this category</t>
  </si>
  <si>
    <t>In-School-Youth</t>
  </si>
  <si>
    <t>YTD Comparison</t>
  </si>
  <si>
    <t xml:space="preserve">ADULT </t>
  </si>
  <si>
    <t>YOUTH</t>
  </si>
  <si>
    <t>DISLOCATED WORKER</t>
  </si>
  <si>
    <t>TOTAL FUNDING</t>
  </si>
  <si>
    <t>OVER(UNDER)</t>
  </si>
  <si>
    <t>Allegheny - 005</t>
  </si>
  <si>
    <t>Berks - 015</t>
  </si>
  <si>
    <t>Bucks - 020</t>
  </si>
  <si>
    <t>Chester - 030</t>
  </si>
  <si>
    <t>Delaware - 035</t>
  </si>
  <si>
    <t>Westmoreland/Fayette - 045</t>
  </si>
  <si>
    <t>Scranton/Lackawanna - 055</t>
  </si>
  <si>
    <t>Lancaster - 060</t>
  </si>
  <si>
    <t>Lehigh Valley - 070</t>
  </si>
  <si>
    <t>Luzerne/Schuylkill - 075</t>
  </si>
  <si>
    <t>Montgomery - 080</t>
  </si>
  <si>
    <t>Philadelphia - 090</t>
  </si>
  <si>
    <t>Three Rivers (TRWIB) - 095</t>
  </si>
  <si>
    <t>Southern Alleghenies - 100</t>
  </si>
  <si>
    <t>Tri-County - 110</t>
  </si>
  <si>
    <t>North Central - 125</t>
  </si>
  <si>
    <t>Northern Tier - 130</t>
  </si>
  <si>
    <t>West Central - 145</t>
  </si>
  <si>
    <t>Southwest Corner (Washington/Greene) - 165</t>
  </si>
  <si>
    <t>Central PA (CPWDC) - 175</t>
  </si>
  <si>
    <t>Southcentral - 180</t>
  </si>
  <si>
    <t>STATEWIDE  SUMMARY</t>
  </si>
  <si>
    <t xml:space="preserve"> </t>
  </si>
  <si>
    <t>Pocono Counties (Carbon County) - 135</t>
  </si>
  <si>
    <t>Northwest (Venango) - 170</t>
  </si>
  <si>
    <t xml:space="preserve">                                                                                                           </t>
  </si>
  <si>
    <t>OSY - Work Experience (staffing costs)</t>
  </si>
  <si>
    <t>OSY - Other Training Expenses (please identify below)</t>
  </si>
  <si>
    <t>ISY - Work Experience (staffing costs)</t>
  </si>
  <si>
    <t>OSY - Work Experience (participant costs)</t>
  </si>
  <si>
    <t>ISY - Work Experience (participant costs)</t>
  </si>
  <si>
    <t xml:space="preserve">NOTES: </t>
  </si>
  <si>
    <t>ISY - Other Training Expenses (please identify below)</t>
  </si>
  <si>
    <t>OSY - Other Staffing &amp; Operatational Expenses</t>
  </si>
  <si>
    <t>ISY - Other Staffing &amp; Operatational Expenses</t>
  </si>
  <si>
    <t>Per TEGL 23-14 requires a minimum of 20% of Youth funds must be spent on work experiences, which includes: summer employment opportunities, other employment, pre-apprenticeship programs, job shadowing, and OJT opportunities.</t>
  </si>
  <si>
    <t xml:space="preserve">Out-of-School Youth, per TEGL 23-14, local areas must expend 75% of Youth funds on OSY activities. </t>
  </si>
  <si>
    <t>Other information</t>
  </si>
  <si>
    <t>Date of Modification and Modification No.</t>
  </si>
  <si>
    <t>THESE AMOUNTS WILL BE RECAPTURED FROM AD &amp; DW 2ND AND YOUTH</t>
  </si>
  <si>
    <t>Initial Admin Allotment</t>
  </si>
  <si>
    <t>Recpatured Offset</t>
  </si>
  <si>
    <t>Revised Admin Allotment</t>
  </si>
  <si>
    <t>Offset Information</t>
  </si>
  <si>
    <t>Other training expenses: ITA's, stipends, incentives</t>
  </si>
  <si>
    <t>OSY-Other Training-ITA's, &amp; OJT's</t>
  </si>
  <si>
    <t>Youth other Training includes Occupational Skill Training (ITA) &amp; Support Servivces</t>
  </si>
  <si>
    <t>Other Training Expenses are Support Services</t>
  </si>
  <si>
    <t>out of school other training = occu skill train, classroom based services, academic enrichment</t>
  </si>
  <si>
    <t>in school other training =  academic enrichment</t>
  </si>
  <si>
    <t>PY 2016 TITLE I</t>
  </si>
  <si>
    <t>LWDA budgets must be submitted the last week of July</t>
  </si>
  <si>
    <t xml:space="preserve">LWDA budgets can be revised and resubmitted as approved by the LWDB and to reflect any adjustments. </t>
  </si>
  <si>
    <t>A year-to-date comparision of actual expenditures should be made against the submitted LWDA budgets on a quarterly basis.</t>
  </si>
  <si>
    <t xml:space="preserve">CAREER &amp; SUPPORTIVE SERVICES </t>
  </si>
  <si>
    <t>Incentive Payments</t>
  </si>
  <si>
    <t>ISY - Incentive Payments (participant costs)</t>
  </si>
  <si>
    <t>OSY - Incentive Payments (participant costs)</t>
  </si>
  <si>
    <t>Customized Training*</t>
  </si>
  <si>
    <t>Incumbent Worker Training</t>
  </si>
  <si>
    <t>Apprenticeship Training</t>
  </si>
  <si>
    <t>TRAINING SERVICES</t>
  </si>
  <si>
    <t>Other Training*</t>
  </si>
  <si>
    <t>*Please identify training in the notes below.</t>
  </si>
  <si>
    <t>85% ADULT</t>
  </si>
  <si>
    <t>85% YOUTH</t>
  </si>
  <si>
    <t>60% DISLOCATED WORKER</t>
  </si>
  <si>
    <t>Total LWDA</t>
  </si>
  <si>
    <t>Budget is WIB approved</t>
  </si>
  <si>
    <t>OSY Other Training Expenses are ITA budget</t>
  </si>
  <si>
    <t>ITA's in High Priority Occupational Fields.</t>
  </si>
  <si>
    <t>PY 2016 Initial Budget Approved by Quorum of WDB Executive Committee Members on 7-29-16.</t>
  </si>
  <si>
    <t>PY16 budget approved by Berks WDB on 6-17-16.</t>
  </si>
  <si>
    <t>OSY OTHER TRAINING EXPENSES ARE FOR THE CONTRACTS WITH SERVICE PROVIDERS</t>
  </si>
  <si>
    <t>LVWDB WILL BE FUNDING OJT AND ITA'S FOR OSY WHICH IS ALSO INCLUDED IN OTHER TRAINING</t>
  </si>
  <si>
    <t>LVWDB WILL BE FUNDING INCUMBENT WORKERS TRAINING WITH INDUSTRY PARTNERSHIP FUNDS</t>
  </si>
  <si>
    <t>LVWDB WILL BE FUNDING ADDITIONAL DW ITA'S AND OJT'S WITH RAPID RESPONSE FUNDS</t>
  </si>
  <si>
    <t>Plan approved by the Lehigh Valley Workforce Development  Board on June 2, 2016</t>
  </si>
  <si>
    <t>SAWDB Approved 5/10/16</t>
  </si>
  <si>
    <t>PY16 budget approved by Westmoreland/Fayette WDB on 6-17-16.</t>
  </si>
  <si>
    <t>PY16 budget approved by Pocono WDB on 6-1-16.</t>
  </si>
  <si>
    <t>Gregg Dogan stated that due to an accident, he will OOO until 8.15.16 - (Concern on no backup)</t>
  </si>
  <si>
    <r>
      <t xml:space="preserve">PY16 Budget was sent in by Gregg on 8.22.16 which was incorrect. </t>
    </r>
    <r>
      <rPr>
        <b/>
        <sz val="11"/>
        <rFont val="Verdana"/>
        <family val="2"/>
      </rPr>
      <t>√</t>
    </r>
  </si>
  <si>
    <t>ADULT AND DW 2ND INC. HAVE BEEN ADJ. TO</t>
  </si>
  <si>
    <t>COINCIDE WITH ACTUAL NOO AMOUNTS.</t>
  </si>
  <si>
    <t>4/4/2017 - Chester will have Board approval regarding budget changes at next meeting on 4/24/2017</t>
  </si>
  <si>
    <t>Adult &amp; DW</t>
  </si>
  <si>
    <t>% of Program Budget</t>
  </si>
  <si>
    <t>Program Budget</t>
  </si>
  <si>
    <t>Training Budget</t>
  </si>
  <si>
    <t>Training Expenditures</t>
  </si>
  <si>
    <t>Modification changes to Budget approved at WDB Board mtg. on 3/17/17.</t>
  </si>
  <si>
    <t>Per Karen Vaughn: This budget is adjusted to reflect the transfer that has not been added on yet.</t>
  </si>
  <si>
    <t>PY16 - Q2</t>
  </si>
  <si>
    <t>MOD 6:</t>
  </si>
  <si>
    <t>Transfer from DW-2nd Inc.</t>
  </si>
  <si>
    <t>Transfer from Adult-2nd Inc.</t>
  </si>
  <si>
    <t>5/26/17 - Some of the budgets are over, but in the April FSR the budgets were fixed &amp; moved to</t>
  </si>
  <si>
    <t>the right category.</t>
  </si>
  <si>
    <t>DLW - Other training = Employer Engagement , Job development Service, Workshops (not customized)</t>
  </si>
  <si>
    <t>Adult funds were deobligated after this budget was put through.  Decreased the adult funds by $15,921.17</t>
  </si>
  <si>
    <t>DLW funds were deobligated after this budget was put through.  Decreased the DLW funds by $3928</t>
  </si>
  <si>
    <t>Youth - OSY/ISY - Other Training  = Vocational Training provided by subcontractor</t>
  </si>
  <si>
    <t xml:space="preserve">Since I am new I have been working on trying to get the cost in the correct catgory with the </t>
  </si>
  <si>
    <t>youth and that we spend all of the funds correctly.  I am also noticing that the budget was not</t>
  </si>
  <si>
    <t xml:space="preserve">set up correctly in the begining.  </t>
  </si>
  <si>
    <t xml:space="preserve">    Adult:  Operational expenses &amp; ITA costs are lower than origninally planned due to an internal change in service providers in January , 2017</t>
  </si>
  <si>
    <t xml:space="preserve">    DW:  Actual operational expenses are low due to internal changes in mid- program year.</t>
  </si>
  <si>
    <t xml:space="preserve">    Youth:  Staffing and operational  expenses were lower than palnned due to mid-year service provider changes.  </t>
  </si>
  <si>
    <t xml:space="preserve">    Admin:  Actual operational expenses were less than originally planned.</t>
  </si>
  <si>
    <t xml:space="preserve">Per Deb-I changed the line items from their budget sheet to include the Indirect costs to the Operational  </t>
  </si>
  <si>
    <t>Expenses line and the RSA costs to the Other Program Expenses line.</t>
  </si>
  <si>
    <t>We currently are working with and providing technical assistance to a subcontractor who poorly</t>
  </si>
  <si>
    <t>budgeted staff costs in Youth and DW.</t>
  </si>
  <si>
    <t>OSY other training expenses are for ITA's.</t>
  </si>
  <si>
    <t xml:space="preserve">Per Keith 5.17.17-Modification will be requested at next meeting in June to adjust PY16 budgets due to </t>
  </si>
  <si>
    <t>adding programs that were not part of the original budget.</t>
  </si>
  <si>
    <t>PY16 budget approved by Board meeting on 5/17/17.</t>
  </si>
  <si>
    <t>Modification approved on 12.14.16</t>
  </si>
  <si>
    <t>Adult: Reclassified $484 from Other Program Expenses to Support Services</t>
  </si>
  <si>
    <t>DW: Reclassified $790 from Other Program Expenses to Support Services</t>
  </si>
  <si>
    <t>Modification approved on 3/8/17</t>
  </si>
  <si>
    <t>Adult: Reclassified $178 from Other Program Expenses to Support Services</t>
  </si>
  <si>
    <t>DW: Reclassified $845 from Other Program Expenses to Support Services</t>
  </si>
  <si>
    <t>Adult: Adjusted budget to match revised actual</t>
  </si>
  <si>
    <t>DW: Adjusted budget to match revised actual</t>
  </si>
  <si>
    <t>Youth: Reclassified $9,177 from PY16 OSY Work Experience (Staffing) to PY15 OSY Work Experience (Staffing)</t>
  </si>
  <si>
    <t>Youth: Reclassified $11,492 from PY16 OSY Work Experience (Participant) to PY15 OSY Work Experience (Participant)</t>
  </si>
  <si>
    <t>Youth: Reclassified $11,492 from PY15 OSY Other Staffing and Operational to PY16 Other Staffing and Operational</t>
  </si>
  <si>
    <t>Youth: Reclassified $9,177 from PY15 OSY Other Staffing and Operational to PY16 Other Staffing and Operational</t>
  </si>
  <si>
    <t>Youth: Reclassified $9,128 from PY15 OSY Other Staffing and Operational to PY16 OSY Other Staffing and Operational</t>
  </si>
  <si>
    <t>PY2016 Budget to YTD Q4 JUNE 2017 FSR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</si>
</sst>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\([$$-409]#,##0\)"/>
    <numFmt numFmtId="165" formatCode="#,##0.000000000_);[Red]\(#,##0.000000000\)"/>
    <numFmt numFmtId="166" formatCode="[$$-409]#,##0.0_);\([$$-409]#,##0.0\)"/>
    <numFmt numFmtId="167" formatCode="[$$-409]#,##0.00_);\([$$-409]#,##0.00\)"/>
    <numFmt numFmtId="168" formatCode="&quot;$&quot;#,##0.00"/>
    <numFmt numFmtId="169" formatCode="_(&quot;$&quot;* #,##0_);_(&quot;$&quot;* \(#,##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</font>
    <font>
      <b/>
      <strike/>
      <sz val="11"/>
      <name val="Calibri"/>
      <family val="2"/>
      <scheme val="minor"/>
    </font>
    <font>
      <b/>
      <sz val="11"/>
      <name val="Verdana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i/>
      <sz val="9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center"/>
    </xf>
    <xf numFmtId="0" fontId="3" fillId="0" borderId="16" xfId="0" applyFont="1" applyBorder="1"/>
    <xf numFmtId="0" fontId="5" fillId="0" borderId="0" xfId="0" applyFont="1"/>
    <xf numFmtId="0" fontId="5" fillId="0" borderId="12" xfId="0" applyFont="1" applyBorder="1" applyAlignment="1"/>
    <xf numFmtId="0" fontId="5" fillId="0" borderId="28" xfId="0" applyFont="1" applyBorder="1" applyAlignment="1"/>
    <xf numFmtId="0" fontId="5" fillId="0" borderId="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3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0" xfId="0" applyFont="1" applyFill="1" applyBorder="1"/>
    <xf numFmtId="164" fontId="5" fillId="0" borderId="2" xfId="0" applyNumberFormat="1" applyFont="1" applyFill="1" applyBorder="1"/>
    <xf numFmtId="164" fontId="5" fillId="0" borderId="21" xfId="0" applyNumberFormat="1" applyFont="1" applyFill="1" applyBorder="1"/>
    <xf numFmtId="164" fontId="5" fillId="0" borderId="0" xfId="0" applyNumberFormat="1" applyFont="1" applyFill="1" applyBorder="1"/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/>
    <xf numFmtId="0" fontId="3" fillId="2" borderId="3" xfId="0" applyFont="1" applyFill="1" applyBorder="1"/>
    <xf numFmtId="38" fontId="5" fillId="2" borderId="3" xfId="0" applyNumberFormat="1" applyFont="1" applyFill="1" applyBorder="1" applyAlignment="1">
      <alignment horizontal="center"/>
    </xf>
    <xf numFmtId="38" fontId="5" fillId="2" borderId="29" xfId="0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38" fontId="3" fillId="0" borderId="0" xfId="2" applyNumberFormat="1" applyFont="1" applyFill="1" applyBorder="1" applyAlignment="1">
      <alignment horizontal="center"/>
    </xf>
    <xf numFmtId="0" fontId="3" fillId="0" borderId="12" xfId="0" applyFont="1" applyBorder="1"/>
    <xf numFmtId="44" fontId="3" fillId="0" borderId="18" xfId="2" applyFont="1" applyFill="1" applyBorder="1" applyAlignment="1">
      <alignment horizontal="left"/>
    </xf>
    <xf numFmtId="44" fontId="3" fillId="0" borderId="13" xfId="2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2" borderId="0" xfId="0" applyFont="1" applyFill="1" applyBorder="1"/>
    <xf numFmtId="0" fontId="3" fillId="2" borderId="0" xfId="0" applyFont="1" applyFill="1" applyBorder="1"/>
    <xf numFmtId="38" fontId="5" fillId="2" borderId="0" xfId="1" applyNumberFormat="1" applyFont="1" applyFill="1" applyBorder="1" applyAlignment="1">
      <alignment horizontal="center"/>
    </xf>
    <xf numFmtId="38" fontId="5" fillId="2" borderId="24" xfId="1" applyNumberFormat="1" applyFont="1" applyFill="1" applyBorder="1" applyAlignment="1">
      <alignment horizontal="center"/>
    </xf>
    <xf numFmtId="38" fontId="5" fillId="0" borderId="0" xfId="1" applyNumberFormat="1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center"/>
    </xf>
    <xf numFmtId="44" fontId="3" fillId="0" borderId="4" xfId="2" applyFont="1" applyFill="1" applyBorder="1" applyAlignment="1">
      <alignment horizontal="left"/>
    </xf>
    <xf numFmtId="44" fontId="3" fillId="0" borderId="5" xfId="2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/>
    <xf numFmtId="0" fontId="6" fillId="0" borderId="0" xfId="0" applyFont="1" applyFill="1"/>
    <xf numFmtId="38" fontId="3" fillId="0" borderId="6" xfId="1" applyNumberFormat="1" applyFont="1" applyFill="1" applyBorder="1" applyAlignment="1">
      <alignment horizontal="center"/>
    </xf>
    <xf numFmtId="38" fontId="3" fillId="0" borderId="25" xfId="1" applyNumberFormat="1" applyFont="1" applyFill="1" applyBorder="1" applyAlignment="1">
      <alignment horizontal="center"/>
    </xf>
    <xf numFmtId="38" fontId="3" fillId="0" borderId="7" xfId="2" applyNumberFormat="1" applyFont="1" applyFill="1" applyBorder="1" applyAlignment="1">
      <alignment horizontal="center"/>
    </xf>
    <xf numFmtId="38" fontId="3" fillId="0" borderId="4" xfId="2" applyNumberFormat="1" applyFont="1" applyFill="1" applyBorder="1" applyAlignment="1">
      <alignment horizontal="center"/>
    </xf>
    <xf numFmtId="38" fontId="3" fillId="0" borderId="25" xfId="2" applyNumberFormat="1" applyFont="1" applyFill="1" applyBorder="1" applyAlignment="1">
      <alignment horizontal="center"/>
    </xf>
    <xf numFmtId="38" fontId="3" fillId="0" borderId="5" xfId="2" applyNumberFormat="1" applyFont="1" applyFill="1" applyBorder="1" applyAlignment="1">
      <alignment horizontal="center"/>
    </xf>
    <xf numFmtId="38" fontId="3" fillId="0" borderId="22" xfId="2" applyNumberFormat="1" applyFont="1" applyFill="1" applyBorder="1" applyAlignment="1">
      <alignment horizontal="center"/>
    </xf>
    <xf numFmtId="0" fontId="5" fillId="2" borderId="3" xfId="0" applyFont="1" applyFill="1" applyBorder="1"/>
    <xf numFmtId="38" fontId="5" fillId="2" borderId="3" xfId="1" applyNumberFormat="1" applyFont="1" applyFill="1" applyBorder="1" applyAlignment="1">
      <alignment horizontal="center"/>
    </xf>
    <xf numFmtId="38" fontId="5" fillId="2" borderId="29" xfId="1" applyNumberFormat="1" applyFont="1" applyFill="1" applyBorder="1" applyAlignment="1">
      <alignment horizontal="center"/>
    </xf>
    <xf numFmtId="38" fontId="3" fillId="0" borderId="10" xfId="1" applyNumberFormat="1" applyFont="1" applyFill="1" applyBorder="1" applyAlignment="1">
      <alignment horizontal="center"/>
    </xf>
    <xf numFmtId="38" fontId="3" fillId="0" borderId="26" xfId="1" applyNumberFormat="1" applyFont="1" applyFill="1" applyBorder="1" applyAlignment="1">
      <alignment horizontal="center"/>
    </xf>
    <xf numFmtId="38" fontId="3" fillId="0" borderId="11" xfId="2" applyNumberFormat="1" applyFont="1" applyFill="1" applyBorder="1" applyAlignment="1">
      <alignment horizontal="center"/>
    </xf>
    <xf numFmtId="38" fontId="3" fillId="0" borderId="26" xfId="2" applyNumberFormat="1" applyFont="1" applyFill="1" applyBorder="1" applyAlignment="1">
      <alignment horizontal="center"/>
    </xf>
    <xf numFmtId="38" fontId="3" fillId="0" borderId="14" xfId="2" applyNumberFormat="1" applyFont="1" applyFill="1" applyBorder="1" applyAlignment="1">
      <alignment horizontal="center"/>
    </xf>
    <xf numFmtId="38" fontId="3" fillId="0" borderId="24" xfId="2" applyNumberFormat="1" applyFont="1" applyFill="1" applyBorder="1" applyAlignment="1">
      <alignment horizontal="center"/>
    </xf>
    <xf numFmtId="38" fontId="3" fillId="0" borderId="8" xfId="1" applyNumberFormat="1" applyFont="1" applyFill="1" applyBorder="1" applyAlignment="1">
      <alignment horizontal="center"/>
    </xf>
    <xf numFmtId="38" fontId="3" fillId="0" borderId="27" xfId="1" applyNumberFormat="1" applyFont="1" applyFill="1" applyBorder="1" applyAlignment="1">
      <alignment horizontal="center"/>
    </xf>
    <xf numFmtId="38" fontId="3" fillId="0" borderId="20" xfId="2" applyNumberFormat="1" applyFont="1" applyFill="1" applyBorder="1" applyAlignment="1">
      <alignment horizontal="center"/>
    </xf>
    <xf numFmtId="38" fontId="3" fillId="0" borderId="9" xfId="2" applyNumberFormat="1" applyFont="1" applyFill="1" applyBorder="1" applyAlignment="1">
      <alignment horizontal="center"/>
    </xf>
    <xf numFmtId="38" fontId="3" fillId="0" borderId="27" xfId="2" applyNumberFormat="1" applyFont="1" applyFill="1" applyBorder="1" applyAlignment="1">
      <alignment horizontal="center"/>
    </xf>
    <xf numFmtId="38" fontId="3" fillId="0" borderId="19" xfId="2" applyNumberFormat="1" applyFont="1" applyFill="1" applyBorder="1" applyAlignment="1">
      <alignment horizontal="center"/>
    </xf>
    <xf numFmtId="0" fontId="5" fillId="0" borderId="0" xfId="0" applyFont="1" applyFill="1"/>
    <xf numFmtId="38" fontId="3" fillId="0" borderId="7" xfId="1" applyNumberFormat="1" applyFont="1" applyFill="1" applyBorder="1" applyAlignment="1">
      <alignment horizontal="center"/>
    </xf>
    <xf numFmtId="44" fontId="3" fillId="0" borderId="7" xfId="2" applyFont="1" applyFill="1" applyBorder="1" applyAlignment="1">
      <alignment horizontal="center"/>
    </xf>
    <xf numFmtId="38" fontId="3" fillId="0" borderId="6" xfId="2" applyNumberFormat="1" applyFont="1" applyFill="1" applyBorder="1" applyAlignment="1">
      <alignment horizontal="center"/>
    </xf>
    <xf numFmtId="44" fontId="3" fillId="0" borderId="20" xfId="2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/>
    <xf numFmtId="0" fontId="7" fillId="0" borderId="0" xfId="0" applyFont="1" applyFill="1"/>
    <xf numFmtId="38" fontId="3" fillId="0" borderId="0" xfId="0" applyNumberFormat="1" applyFont="1" applyAlignment="1">
      <alignment horizontal="center"/>
    </xf>
    <xf numFmtId="44" fontId="3" fillId="0" borderId="0" xfId="2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38" fontId="3" fillId="0" borderId="0" xfId="1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3" fillId="0" borderId="31" xfId="0" applyFont="1" applyBorder="1"/>
    <xf numFmtId="38" fontId="3" fillId="0" borderId="32" xfId="1" applyNumberFormat="1" applyFont="1" applyFill="1" applyBorder="1" applyAlignment="1">
      <alignment horizontal="center"/>
    </xf>
    <xf numFmtId="38" fontId="3" fillId="0" borderId="33" xfId="1" applyNumberFormat="1" applyFont="1" applyFill="1" applyBorder="1" applyAlignment="1">
      <alignment horizontal="center"/>
    </xf>
    <xf numFmtId="0" fontId="3" fillId="0" borderId="30" xfId="0" applyFont="1" applyFill="1" applyBorder="1"/>
    <xf numFmtId="38" fontId="3" fillId="0" borderId="0" xfId="0" applyNumberFormat="1" applyFont="1" applyBorder="1" applyAlignment="1">
      <alignment horizontal="center"/>
    </xf>
    <xf numFmtId="0" fontId="5" fillId="0" borderId="0" xfId="0" applyFont="1" applyFill="1" applyAlignment="1"/>
    <xf numFmtId="38" fontId="5" fillId="2" borderId="34" xfId="0" applyNumberFormat="1" applyFont="1" applyFill="1" applyBorder="1" applyAlignment="1">
      <alignment horizontal="center"/>
    </xf>
    <xf numFmtId="38" fontId="5" fillId="2" borderId="16" xfId="1" applyNumberFormat="1" applyFont="1" applyFill="1" applyBorder="1" applyAlignment="1">
      <alignment horizontal="center"/>
    </xf>
    <xf numFmtId="38" fontId="5" fillId="2" borderId="34" xfId="1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/>
    </xf>
    <xf numFmtId="0" fontId="5" fillId="0" borderId="35" xfId="0" applyFont="1" applyBorder="1"/>
    <xf numFmtId="44" fontId="5" fillId="0" borderId="35" xfId="2" applyFont="1" applyFill="1" applyBorder="1" applyAlignment="1">
      <alignment horizontal="left"/>
    </xf>
    <xf numFmtId="38" fontId="5" fillId="0" borderId="35" xfId="2" applyNumberFormat="1" applyFont="1" applyFill="1" applyBorder="1" applyAlignment="1">
      <alignment horizontal="center"/>
    </xf>
    <xf numFmtId="38" fontId="5" fillId="0" borderId="35" xfId="1" applyNumberFormat="1" applyFont="1" applyFill="1" applyBorder="1" applyAlignment="1">
      <alignment horizontal="center"/>
    </xf>
    <xf numFmtId="44" fontId="5" fillId="0" borderId="35" xfId="2" applyFont="1" applyFill="1" applyBorder="1" applyAlignment="1">
      <alignment horizontal="center"/>
    </xf>
    <xf numFmtId="38" fontId="5" fillId="0" borderId="35" xfId="0" applyNumberFormat="1" applyFont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38" fontId="5" fillId="0" borderId="0" xfId="0" applyNumberFormat="1" applyFont="1" applyFill="1" applyAlignment="1">
      <alignment horizontal="center"/>
    </xf>
    <xf numFmtId="0" fontId="9" fillId="5" borderId="0" xfId="0" applyFont="1" applyFill="1"/>
    <xf numFmtId="44" fontId="10" fillId="5" borderId="0" xfId="2" applyFont="1" applyFill="1" applyAlignment="1">
      <alignment horizontal="center"/>
    </xf>
    <xf numFmtId="0" fontId="10" fillId="5" borderId="0" xfId="0" applyFont="1" applyFill="1"/>
    <xf numFmtId="167" fontId="3" fillId="0" borderId="0" xfId="0" applyNumberFormat="1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11" fillId="5" borderId="0" xfId="0" applyFont="1" applyFill="1"/>
    <xf numFmtId="0" fontId="10" fillId="5" borderId="12" xfId="0" applyFont="1" applyFill="1" applyBorder="1" applyAlignment="1">
      <alignment horizontal="right"/>
    </xf>
    <xf numFmtId="0" fontId="5" fillId="2" borderId="29" xfId="0" applyFont="1" applyFill="1" applyBorder="1" applyAlignment="1"/>
    <xf numFmtId="168" fontId="3" fillId="7" borderId="0" xfId="0" applyNumberFormat="1" applyFont="1" applyFill="1"/>
    <xf numFmtId="44" fontId="3" fillId="0" borderId="4" xfId="2" applyFont="1" applyFill="1" applyBorder="1" applyAlignment="1">
      <alignment horizontal="left"/>
    </xf>
    <xf numFmtId="44" fontId="3" fillId="0" borderId="5" xfId="2" applyFont="1" applyFill="1" applyBorder="1" applyAlignment="1">
      <alignment horizontal="left"/>
    </xf>
    <xf numFmtId="0" fontId="3" fillId="0" borderId="0" xfId="0" applyFont="1" applyAlignment="1">
      <alignment horizontal="center"/>
    </xf>
    <xf numFmtId="44" fontId="3" fillId="0" borderId="9" xfId="2" applyFont="1" applyFill="1" applyBorder="1" applyAlignment="1">
      <alignment horizontal="left"/>
    </xf>
    <xf numFmtId="44" fontId="3" fillId="0" borderId="19" xfId="2" applyFont="1" applyFill="1" applyBorder="1" applyAlignment="1">
      <alignment horizontal="left"/>
    </xf>
    <xf numFmtId="44" fontId="3" fillId="0" borderId="0" xfId="2" applyFont="1" applyFill="1"/>
    <xf numFmtId="164" fontId="3" fillId="0" borderId="19" xfId="0" applyNumberFormat="1" applyFont="1" applyFill="1" applyBorder="1" applyAlignment="1">
      <alignment horizontal="center"/>
    </xf>
    <xf numFmtId="164" fontId="3" fillId="0" borderId="37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2" fillId="8" borderId="0" xfId="0" applyFont="1" applyFill="1"/>
    <xf numFmtId="0" fontId="12" fillId="0" borderId="0" xfId="0" applyFont="1" applyFill="1"/>
    <xf numFmtId="0" fontId="15" fillId="0" borderId="0" xfId="0" applyFont="1" applyAlignment="1">
      <alignment vertical="center"/>
    </xf>
    <xf numFmtId="0" fontId="16" fillId="9" borderId="0" xfId="0" applyFont="1" applyFill="1"/>
    <xf numFmtId="38" fontId="3" fillId="8" borderId="6" xfId="1" applyNumberFormat="1" applyFont="1" applyFill="1" applyBorder="1" applyAlignment="1">
      <alignment horizontal="center"/>
    </xf>
    <xf numFmtId="38" fontId="3" fillId="8" borderId="5" xfId="2" applyNumberFormat="1" applyFont="1" applyFill="1" applyBorder="1" applyAlignment="1">
      <alignment horizontal="center"/>
    </xf>
    <xf numFmtId="38" fontId="3" fillId="8" borderId="7" xfId="2" applyNumberFormat="1" applyFont="1" applyFill="1" applyBorder="1" applyAlignment="1">
      <alignment horizontal="center"/>
    </xf>
    <xf numFmtId="38" fontId="3" fillId="8" borderId="8" xfId="1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0" xfId="0" applyFont="1" applyBorder="1"/>
    <xf numFmtId="0" fontId="19" fillId="0" borderId="16" xfId="0" applyFont="1" applyBorder="1" applyAlignment="1">
      <alignment horizontal="right"/>
    </xf>
    <xf numFmtId="38" fontId="19" fillId="0" borderId="41" xfId="0" applyNumberFormat="1" applyFont="1" applyBorder="1"/>
    <xf numFmtId="0" fontId="19" fillId="0" borderId="0" xfId="0" applyFont="1"/>
    <xf numFmtId="38" fontId="19" fillId="0" borderId="42" xfId="0" applyNumberFormat="1" applyFont="1" applyBorder="1"/>
    <xf numFmtId="9" fontId="19" fillId="0" borderId="41" xfId="3" applyFont="1" applyBorder="1"/>
    <xf numFmtId="0" fontId="5" fillId="6" borderId="0" xfId="0" applyFont="1" applyFill="1" applyAlignment="1"/>
    <xf numFmtId="38" fontId="3" fillId="8" borderId="10" xfId="1" applyNumberFormat="1" applyFont="1" applyFill="1" applyBorder="1" applyAlignment="1">
      <alignment horizontal="center"/>
    </xf>
    <xf numFmtId="38" fontId="3" fillId="8" borderId="19" xfId="2" applyNumberFormat="1" applyFont="1" applyFill="1" applyBorder="1" applyAlignment="1">
      <alignment horizontal="center"/>
    </xf>
    <xf numFmtId="38" fontId="3" fillId="0" borderId="0" xfId="0" applyNumberFormat="1" applyFont="1"/>
    <xf numFmtId="9" fontId="3" fillId="0" borderId="0" xfId="3" applyFont="1"/>
    <xf numFmtId="38" fontId="5" fillId="10" borderId="3" xfId="1" applyNumberFormat="1" applyFont="1" applyFill="1" applyBorder="1" applyAlignment="1">
      <alignment horizontal="center"/>
    </xf>
    <xf numFmtId="0" fontId="16" fillId="0" borderId="0" xfId="0" applyFont="1" applyFill="1"/>
    <xf numFmtId="0" fontId="20" fillId="6" borderId="0" xfId="0" applyFont="1" applyFill="1"/>
    <xf numFmtId="42" fontId="9" fillId="0" borderId="0" xfId="0" applyNumberFormat="1" applyFont="1"/>
    <xf numFmtId="169" fontId="9" fillId="0" borderId="0" xfId="0" applyNumberFormat="1" applyFont="1"/>
    <xf numFmtId="0" fontId="5" fillId="6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38" fontId="5" fillId="8" borderId="0" xfId="1" applyNumberFormat="1" applyFont="1" applyFill="1" applyBorder="1" applyAlignment="1">
      <alignment horizontal="left"/>
    </xf>
    <xf numFmtId="38" fontId="5" fillId="8" borderId="0" xfId="2" applyNumberFormat="1" applyFont="1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164" fontId="5" fillId="8" borderId="0" xfId="0" applyNumberFormat="1" applyFont="1" applyFill="1" applyAlignment="1">
      <alignment horizontal="center"/>
    </xf>
    <xf numFmtId="0" fontId="5" fillId="8" borderId="0" xfId="0" applyFont="1" applyFill="1" applyAlignment="1"/>
    <xf numFmtId="0" fontId="3" fillId="0" borderId="0" xfId="0" applyFont="1" applyAlignment="1">
      <alignment horizontal="center"/>
    </xf>
    <xf numFmtId="0" fontId="5" fillId="6" borderId="0" xfId="0" applyFont="1" applyFill="1"/>
    <xf numFmtId="38" fontId="3" fillId="8" borderId="7" xfId="1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3" fillId="3" borderId="37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28" xfId="0" applyNumberFormat="1" applyFont="1" applyFill="1" applyBorder="1" applyAlignment="1">
      <alignment horizontal="center"/>
    </xf>
    <xf numFmtId="44" fontId="3" fillId="0" borderId="4" xfId="2" applyFont="1" applyFill="1" applyBorder="1" applyAlignment="1">
      <alignment horizontal="left"/>
    </xf>
    <xf numFmtId="44" fontId="3" fillId="0" borderId="5" xfId="2" applyFont="1" applyFill="1" applyBorder="1" applyAlignment="1">
      <alignment horizontal="left"/>
    </xf>
    <xf numFmtId="44" fontId="3" fillId="0" borderId="18" xfId="2" applyFont="1" applyFill="1" applyBorder="1" applyAlignment="1">
      <alignment horizontal="left"/>
    </xf>
    <xf numFmtId="44" fontId="3" fillId="0" borderId="13" xfId="2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164" fontId="3" fillId="3" borderId="15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4" fontId="3" fillId="4" borderId="4" xfId="2" applyFont="1" applyFill="1" applyBorder="1" applyAlignment="1">
      <alignment horizontal="left"/>
    </xf>
    <xf numFmtId="44" fontId="3" fillId="4" borderId="5" xfId="2" applyFont="1" applyFill="1" applyBorder="1" applyAlignment="1">
      <alignment horizontal="left"/>
    </xf>
    <xf numFmtId="38" fontId="3" fillId="3" borderId="9" xfId="1" applyNumberFormat="1" applyFont="1" applyFill="1" applyBorder="1" applyAlignment="1">
      <alignment horizontal="center"/>
    </xf>
    <xf numFmtId="38" fontId="3" fillId="3" borderId="19" xfId="1" applyNumberFormat="1" applyFont="1" applyFill="1" applyBorder="1" applyAlignment="1">
      <alignment horizontal="center"/>
    </xf>
    <xf numFmtId="38" fontId="3" fillId="3" borderId="37" xfId="1" applyNumberFormat="1" applyFont="1" applyFill="1" applyBorder="1" applyAlignment="1">
      <alignment horizontal="center"/>
    </xf>
    <xf numFmtId="38" fontId="3" fillId="3" borderId="39" xfId="1" applyNumberFormat="1" applyFont="1" applyFill="1" applyBorder="1" applyAlignment="1">
      <alignment horizontal="center"/>
    </xf>
    <xf numFmtId="38" fontId="3" fillId="3" borderId="0" xfId="1" applyNumberFormat="1" applyFont="1" applyFill="1" applyBorder="1" applyAlignment="1">
      <alignment horizontal="center"/>
    </xf>
    <xf numFmtId="38" fontId="3" fillId="3" borderId="16" xfId="1" applyNumberFormat="1" applyFont="1" applyFill="1" applyBorder="1" applyAlignment="1">
      <alignment horizontal="center"/>
    </xf>
    <xf numFmtId="38" fontId="3" fillId="3" borderId="40" xfId="1" applyNumberFormat="1" applyFont="1" applyFill="1" applyBorder="1" applyAlignment="1">
      <alignment horizontal="center"/>
    </xf>
    <xf numFmtId="38" fontId="3" fillId="3" borderId="12" xfId="1" applyNumberFormat="1" applyFont="1" applyFill="1" applyBorder="1" applyAlignment="1">
      <alignment horizontal="center"/>
    </xf>
    <xf numFmtId="38" fontId="3" fillId="3" borderId="28" xfId="1" applyNumberFormat="1" applyFont="1" applyFill="1" applyBorder="1" applyAlignment="1">
      <alignment horizontal="center"/>
    </xf>
    <xf numFmtId="44" fontId="3" fillId="0" borderId="9" xfId="2" applyFont="1" applyFill="1" applyBorder="1" applyAlignment="1">
      <alignment horizontal="left"/>
    </xf>
    <xf numFmtId="44" fontId="3" fillId="0" borderId="19" xfId="2" applyFont="1" applyFill="1" applyBorder="1" applyAlignment="1">
      <alignment horizontal="left"/>
    </xf>
    <xf numFmtId="38" fontId="3" fillId="3" borderId="36" xfId="1" applyNumberFormat="1" applyFont="1" applyFill="1" applyBorder="1" applyAlignment="1">
      <alignment horizontal="center"/>
    </xf>
    <xf numFmtId="38" fontId="3" fillId="3" borderId="15" xfId="1" applyNumberFormat="1" applyFont="1" applyFill="1" applyBorder="1" applyAlignment="1">
      <alignment horizontal="center"/>
    </xf>
    <xf numFmtId="38" fontId="3" fillId="3" borderId="38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wrapText="1"/>
    </xf>
    <xf numFmtId="0" fontId="1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0" fillId="5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zoomScaleNormal="100" workbookViewId="0">
      <selection activeCell="B10" sqref="B10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19" width="8.7109375" style="1" customWidth="1"/>
    <col min="20" max="20" width="8.5703125" style="1" customWidth="1"/>
    <col min="21" max="21" width="19.7109375" style="1" bestFit="1" customWidth="1"/>
    <col min="22" max="22" width="12.7109375" style="1" bestFit="1" customWidth="1"/>
    <col min="23" max="23" width="9.5703125" style="1" customWidth="1"/>
    <col min="24" max="24" width="9.42578125" style="1" customWidth="1"/>
    <col min="25" max="16384" width="9.140625" style="1"/>
  </cols>
  <sheetData>
    <row r="1" spans="1:41" ht="21" x14ac:dyDescent="0.35">
      <c r="B1" s="2" t="s">
        <v>59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"/>
      <c r="C7" s="1"/>
      <c r="D7" s="1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D8" s="1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6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"/>
      <c r="C9" s="1"/>
      <c r="D9" s="1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C10" s="130"/>
      <c r="E10" s="21" t="s">
        <v>9</v>
      </c>
      <c r="F10" s="22">
        <f>SUM('SW005:SC180'!F10)</f>
        <v>24169852.719999995</v>
      </c>
      <c r="G10" s="22">
        <f>G44</f>
        <v>442831.00999999995</v>
      </c>
      <c r="H10" s="23">
        <f>F10-G10</f>
        <v>23727021.709999993</v>
      </c>
      <c r="I10" s="22">
        <f>SUM('SW005:SC180'!I10)</f>
        <v>25204953</v>
      </c>
      <c r="J10" s="22">
        <f>J44</f>
        <v>416431.77</v>
      </c>
      <c r="K10" s="23">
        <f>I10-J10</f>
        <v>24788521.23</v>
      </c>
      <c r="L10" s="22">
        <f>SUM('SW005:SC180'!L10)</f>
        <v>20515317.740000002</v>
      </c>
      <c r="M10" s="22">
        <f>M44</f>
        <v>614375.53</v>
      </c>
      <c r="N10" s="23">
        <f>L10-M10</f>
        <v>19900942.210000001</v>
      </c>
      <c r="O10" s="24"/>
      <c r="P10" s="22">
        <f>F10+I10+L10</f>
        <v>69890123.460000008</v>
      </c>
      <c r="Q10" s="22">
        <f>Q41</f>
        <v>0</v>
      </c>
      <c r="R10" s="23">
        <f>P10-Q10</f>
        <v>69890123.460000008</v>
      </c>
      <c r="T10" s="25"/>
    </row>
    <row r="11" spans="1:41" ht="15.75" thickTop="1" x14ac:dyDescent="0.25">
      <c r="H11" s="6"/>
      <c r="K11" s="6"/>
      <c r="N11" s="6"/>
      <c r="R11" s="6"/>
      <c r="T11" s="25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105</v>
      </c>
      <c r="Q12" s="26"/>
      <c r="R12" s="27"/>
      <c r="T12" s="25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  <c r="T13" s="25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2270676</v>
      </c>
      <c r="G14" s="32">
        <f t="shared" ref="G14:H14" si="0">SUM(G15:G16)</f>
        <v>45502.659999999996</v>
      </c>
      <c r="H14" s="33">
        <f t="shared" si="0"/>
        <v>2225173.34</v>
      </c>
      <c r="I14" s="32">
        <f>SUM(I15:I16)</f>
        <v>2416344</v>
      </c>
      <c r="J14" s="32">
        <f t="shared" ref="J14" si="1">SUM(J15:J16)</f>
        <v>43891</v>
      </c>
      <c r="K14" s="33">
        <f>SUM(K15:K16)</f>
        <v>2372453</v>
      </c>
      <c r="L14" s="32">
        <f>SUM(L15:L16)</f>
        <v>2126544</v>
      </c>
      <c r="M14" s="32">
        <f t="shared" ref="M14:N14" si="2">SUM(M15:M16)</f>
        <v>66719</v>
      </c>
      <c r="N14" s="33">
        <f t="shared" si="2"/>
        <v>2059825</v>
      </c>
      <c r="O14" s="34"/>
      <c r="P14" s="99">
        <f>SUM(P15:P16)</f>
        <v>6813564</v>
      </c>
      <c r="Q14" s="99">
        <f t="shared" ref="Q14:R14" si="3">SUM(Q15:Q16)</f>
        <v>156112.66</v>
      </c>
      <c r="R14" s="33">
        <f t="shared" si="3"/>
        <v>6657451.3399999999</v>
      </c>
      <c r="T14" s="25"/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35">
        <f>SUM('SW005:SC180'!F15)</f>
        <v>1546832</v>
      </c>
      <c r="G15" s="35">
        <f>SUM('SW005:SC180'!G15)</f>
        <v>31929.809999999998</v>
      </c>
      <c r="H15" s="36">
        <f>F15-G15</f>
        <v>1514902.19</v>
      </c>
      <c r="I15" s="35">
        <f>SUM('SW005:SC180'!I15)</f>
        <v>1627521</v>
      </c>
      <c r="J15" s="35">
        <f>SUM('SW005:SC180'!J15)</f>
        <v>37357.370000000003</v>
      </c>
      <c r="K15" s="36">
        <f>I15-J15</f>
        <v>1590163.63</v>
      </c>
      <c r="L15" s="35">
        <f>SUM('SW005:SC180'!L15)</f>
        <v>1423171</v>
      </c>
      <c r="M15" s="35">
        <f>SUM('SW005:SC180'!M15)</f>
        <v>47980.130000000005</v>
      </c>
      <c r="N15" s="36">
        <f t="shared" ref="N15:N16" si="4">L15-M15</f>
        <v>1375190.87</v>
      </c>
      <c r="O15" s="37"/>
      <c r="P15" s="36">
        <f>F15+I15+L15</f>
        <v>4597524</v>
      </c>
      <c r="Q15" s="36">
        <f>G15+J15+M15</f>
        <v>117267.31</v>
      </c>
      <c r="R15" s="36">
        <f>P15-Q15</f>
        <v>4480256.6900000004</v>
      </c>
      <c r="T15" s="25"/>
      <c r="U15" s="142" t="s">
        <v>131</v>
      </c>
      <c r="V15" s="143" t="s">
        <v>124</v>
      </c>
      <c r="W15" s="144" t="s">
        <v>125</v>
      </c>
    </row>
    <row r="16" spans="1:41" ht="15.75" thickBot="1" x14ac:dyDescent="0.3">
      <c r="A16" s="29" t="s">
        <v>14</v>
      </c>
      <c r="B16" s="38"/>
      <c r="C16" s="39" t="s">
        <v>16</v>
      </c>
      <c r="D16" s="40"/>
      <c r="E16" s="40"/>
      <c r="F16" s="41">
        <f>SUM('SW005:SC180'!F16)</f>
        <v>723844</v>
      </c>
      <c r="G16" s="41">
        <f>SUM('SW005:SC180'!G16)</f>
        <v>13572.85</v>
      </c>
      <c r="H16" s="42">
        <f>F16-G16</f>
        <v>710271.15</v>
      </c>
      <c r="I16" s="41">
        <f>SUM('SW005:SC180'!I16)</f>
        <v>788823</v>
      </c>
      <c r="J16" s="41">
        <f>SUM('SW005:SC180'!J16)</f>
        <v>6533.63</v>
      </c>
      <c r="K16" s="42">
        <f>I16-J16</f>
        <v>782289.37</v>
      </c>
      <c r="L16" s="41">
        <f>SUM('SW005:SC180'!L16)</f>
        <v>703373</v>
      </c>
      <c r="M16" s="41">
        <f>SUM('SW005:SC180'!M16)</f>
        <v>18738.87</v>
      </c>
      <c r="N16" s="42">
        <f t="shared" si="4"/>
        <v>684634.13</v>
      </c>
      <c r="O16" s="37"/>
      <c r="P16" s="42">
        <f>F16+I16+L16</f>
        <v>2216040</v>
      </c>
      <c r="Q16" s="42">
        <f>G16+J16+M16</f>
        <v>38845.35</v>
      </c>
      <c r="R16" s="42">
        <f>P16-Q16</f>
        <v>2177194.65</v>
      </c>
      <c r="T16" s="43"/>
      <c r="U16" s="145" t="s">
        <v>126</v>
      </c>
      <c r="V16" s="146">
        <f>F17+F24+L17+L24</f>
        <v>40237886</v>
      </c>
      <c r="W16" s="147"/>
    </row>
    <row r="17" spans="1:23" x14ac:dyDescent="0.25">
      <c r="A17" s="29"/>
      <c r="B17" s="44" t="s">
        <v>92</v>
      </c>
      <c r="C17" s="45"/>
      <c r="D17" s="45"/>
      <c r="E17" s="45"/>
      <c r="F17" s="46">
        <f>SUM(F18:F23)</f>
        <v>15438627</v>
      </c>
      <c r="G17" s="46">
        <f t="shared" ref="G17:H17" si="5">SUM(G18:G23)</f>
        <v>342012.99</v>
      </c>
      <c r="H17" s="47">
        <f t="shared" si="5"/>
        <v>15096614.010000002</v>
      </c>
      <c r="I17" s="46">
        <f>SUM(I18:I23)</f>
        <v>0</v>
      </c>
      <c r="J17" s="46">
        <f t="shared" ref="J17:K17" si="6">SUM(J18:J23)</f>
        <v>0</v>
      </c>
      <c r="K17" s="47">
        <f t="shared" si="6"/>
        <v>0</v>
      </c>
      <c r="L17" s="46">
        <f>SUM(L18:L23)</f>
        <v>14483816</v>
      </c>
      <c r="M17" s="46">
        <f t="shared" ref="M17:N17" si="7">SUM(M18:M23)</f>
        <v>503564.84000000008</v>
      </c>
      <c r="N17" s="47">
        <f t="shared" si="7"/>
        <v>13980251.16</v>
      </c>
      <c r="O17" s="48"/>
      <c r="P17" s="100">
        <f>SUM(P18:P23)</f>
        <v>29922443</v>
      </c>
      <c r="Q17" s="100">
        <f t="shared" ref="Q17:R17" si="8">SUM(Q18:Q23)</f>
        <v>845577.83000000007</v>
      </c>
      <c r="R17" s="47">
        <f t="shared" si="8"/>
        <v>29076865.170000002</v>
      </c>
      <c r="T17" s="25"/>
      <c r="U17" s="145" t="s">
        <v>127</v>
      </c>
      <c r="V17" s="148">
        <f>F24+L24</f>
        <v>10315443</v>
      </c>
      <c r="W17" s="149">
        <f>V17/V16</f>
        <v>0.25636145497305696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35">
        <f>SUM('SW005:SC180'!F18)</f>
        <v>8077088</v>
      </c>
      <c r="G18" s="35">
        <f>SUM('SW005:SC180'!G18)</f>
        <v>235205.01</v>
      </c>
      <c r="H18" s="36">
        <f t="shared" ref="H18:H23" si="9">F18-G18</f>
        <v>7841882.9900000002</v>
      </c>
      <c r="I18" s="35">
        <f>SUM('SW005:SC180'!I18)</f>
        <v>0</v>
      </c>
      <c r="J18" s="35">
        <f>SUM('SW005:SC180'!J18)</f>
        <v>0</v>
      </c>
      <c r="K18" s="36">
        <f>I18-J18</f>
        <v>0</v>
      </c>
      <c r="L18" s="35">
        <f>SUM('SW005:SC180'!L18)</f>
        <v>7768596</v>
      </c>
      <c r="M18" s="35">
        <f>SUM('SW005:SC180'!M18)</f>
        <v>348658.56000000006</v>
      </c>
      <c r="N18" s="36">
        <f t="shared" ref="N18:N23" si="10">L18-M18</f>
        <v>7419937.4399999995</v>
      </c>
      <c r="O18" s="37"/>
      <c r="P18" s="36">
        <f>F18+I18+L18</f>
        <v>15845684</v>
      </c>
      <c r="Q18" s="36">
        <f>G18+J18+M18</f>
        <v>583863.57000000007</v>
      </c>
      <c r="R18" s="36">
        <f>P18-Q18</f>
        <v>15261820.43</v>
      </c>
      <c r="T18" s="25"/>
      <c r="U18" s="145" t="s">
        <v>128</v>
      </c>
      <c r="V18" s="148">
        <f>G24+M24</f>
        <v>99407.05</v>
      </c>
      <c r="W18" s="149">
        <f>V18/V16</f>
        <v>2.4704839116050977E-3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35">
        <f>SUM('SW005:SC180'!F19)</f>
        <v>4120944</v>
      </c>
      <c r="G19" s="35">
        <f>SUM('SW005:SC180'!G19)</f>
        <v>85737.69</v>
      </c>
      <c r="H19" s="36">
        <f t="shared" si="9"/>
        <v>4035206.31</v>
      </c>
      <c r="I19" s="35">
        <f>SUM('SW005:SC180'!I19)</f>
        <v>0</v>
      </c>
      <c r="J19" s="35">
        <f>SUM('SW005:SC180'!J19)</f>
        <v>0</v>
      </c>
      <c r="K19" s="36">
        <f t="shared" ref="K19:K23" si="11">I19-J19</f>
        <v>0</v>
      </c>
      <c r="L19" s="35">
        <f>SUM('SW005:SC180'!L19)</f>
        <v>3573514</v>
      </c>
      <c r="M19" s="35">
        <f>SUM('SW005:SC180'!M19)</f>
        <v>116348.02</v>
      </c>
      <c r="N19" s="36">
        <f t="shared" si="10"/>
        <v>3457165.98</v>
      </c>
      <c r="O19" s="37"/>
      <c r="P19" s="36">
        <f t="shared" ref="P19:P23" si="12">F19+I19+L19</f>
        <v>7694458</v>
      </c>
      <c r="Q19" s="36">
        <f t="shared" ref="Q19:Q23" si="13">G19+J19+M19</f>
        <v>202085.71000000002</v>
      </c>
      <c r="R19" s="36">
        <f t="shared" ref="R19:R23" si="14">P19-Q19</f>
        <v>7492372.29</v>
      </c>
      <c r="T19" s="25"/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35">
        <f>SUM('SW005:SC180'!F20)</f>
        <v>2928842</v>
      </c>
      <c r="G20" s="35">
        <f>SUM('SW005:SC180'!G20)</f>
        <v>21070.29</v>
      </c>
      <c r="H20" s="36">
        <f t="shared" si="9"/>
        <v>2907771.71</v>
      </c>
      <c r="I20" s="35">
        <f>SUM('SW005:SC180'!I20)</f>
        <v>0</v>
      </c>
      <c r="J20" s="35">
        <f>SUM('SW005:SC180'!J20)</f>
        <v>0</v>
      </c>
      <c r="K20" s="36">
        <f t="shared" si="11"/>
        <v>0</v>
      </c>
      <c r="L20" s="35">
        <f>SUM('SW005:SC180'!L20)</f>
        <v>2872839</v>
      </c>
      <c r="M20" s="35">
        <f>SUM('SW005:SC180'!M20)</f>
        <v>32008.52</v>
      </c>
      <c r="N20" s="36">
        <f t="shared" si="10"/>
        <v>2840830.48</v>
      </c>
      <c r="O20" s="37"/>
      <c r="P20" s="36">
        <f t="shared" si="12"/>
        <v>5801681</v>
      </c>
      <c r="Q20" s="36">
        <f t="shared" si="13"/>
        <v>53078.81</v>
      </c>
      <c r="R20" s="36">
        <f t="shared" si="14"/>
        <v>5748602.1900000004</v>
      </c>
      <c r="T20" s="14"/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35">
        <f>SUM('SW005:SC180'!F21)</f>
        <v>6000</v>
      </c>
      <c r="G21" s="35">
        <f>SUM('SW005:SC180'!G21)</f>
        <v>0</v>
      </c>
      <c r="H21" s="36">
        <f t="shared" si="9"/>
        <v>6000</v>
      </c>
      <c r="I21" s="35">
        <f>SUM('SW005:SC180'!I21)</f>
        <v>0</v>
      </c>
      <c r="J21" s="35">
        <f>SUM('SW005:SC180'!J21)</f>
        <v>0</v>
      </c>
      <c r="K21" s="36">
        <f t="shared" si="11"/>
        <v>0</v>
      </c>
      <c r="L21" s="35">
        <f>SUM('SW005:SC180'!L21)</f>
        <v>16000</v>
      </c>
      <c r="M21" s="35">
        <f>SUM('SW005:SC180'!M21)</f>
        <v>0</v>
      </c>
      <c r="N21" s="49">
        <f t="shared" si="10"/>
        <v>16000</v>
      </c>
      <c r="O21" s="37"/>
      <c r="P21" s="36">
        <f t="shared" si="12"/>
        <v>22000</v>
      </c>
      <c r="Q21" s="36">
        <f>G21+J21+M21</f>
        <v>0</v>
      </c>
      <c r="R21" s="36">
        <f>P21-Q21</f>
        <v>22000</v>
      </c>
      <c r="T21" s="14"/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35">
        <f>SUM('SW005:SC180'!F22)</f>
        <v>207553</v>
      </c>
      <c r="G22" s="35">
        <f>SUM('SW005:SC180'!G22)</f>
        <v>0</v>
      </c>
      <c r="H22" s="49">
        <f t="shared" si="9"/>
        <v>207553</v>
      </c>
      <c r="I22" s="35">
        <f>SUM('SW005:SC180'!I22)</f>
        <v>0</v>
      </c>
      <c r="J22" s="35">
        <f>SUM('SW005:SC180'!J22)</f>
        <v>0</v>
      </c>
      <c r="K22" s="36">
        <f t="shared" si="11"/>
        <v>0</v>
      </c>
      <c r="L22" s="35">
        <f>SUM('SW005:SC180'!L22)</f>
        <v>153000</v>
      </c>
      <c r="M22" s="35">
        <f>SUM('SW005:SC180'!M22)</f>
        <v>0</v>
      </c>
      <c r="N22" s="49">
        <f t="shared" si="10"/>
        <v>153000</v>
      </c>
      <c r="O22" s="37"/>
      <c r="P22" s="36">
        <f t="shared" si="12"/>
        <v>360553</v>
      </c>
      <c r="Q22" s="36">
        <f t="shared" si="13"/>
        <v>0</v>
      </c>
      <c r="R22" s="36">
        <f t="shared" si="14"/>
        <v>360553</v>
      </c>
      <c r="T22" s="14"/>
    </row>
    <row r="23" spans="1:23" ht="15.75" thickBot="1" x14ac:dyDescent="0.3">
      <c r="A23" s="29" t="s">
        <v>17</v>
      </c>
      <c r="B23" s="38"/>
      <c r="C23" s="179" t="s">
        <v>25</v>
      </c>
      <c r="D23" s="180"/>
      <c r="E23" s="180"/>
      <c r="F23" s="41">
        <f>SUM('SW005:SC180'!F23)</f>
        <v>98200</v>
      </c>
      <c r="G23" s="41">
        <f>SUM('SW005:SC180'!G23)</f>
        <v>0</v>
      </c>
      <c r="H23" s="42">
        <f t="shared" si="9"/>
        <v>98200</v>
      </c>
      <c r="I23" s="41">
        <f>SUM('SW005:SC180'!I23)</f>
        <v>0</v>
      </c>
      <c r="J23" s="41">
        <f>SUM('SW005:SC180'!J23)</f>
        <v>0</v>
      </c>
      <c r="K23" s="42">
        <f t="shared" si="11"/>
        <v>0</v>
      </c>
      <c r="L23" s="41">
        <f>SUM('SW005:SC180'!L23)</f>
        <v>99867</v>
      </c>
      <c r="M23" s="41">
        <f>SUM('SW005:SC180'!M23)</f>
        <v>6549.74</v>
      </c>
      <c r="N23" s="42">
        <f t="shared" si="10"/>
        <v>93317.26</v>
      </c>
      <c r="O23" s="37"/>
      <c r="P23" s="42">
        <f t="shared" si="12"/>
        <v>198067</v>
      </c>
      <c r="Q23" s="42">
        <f t="shared" si="13"/>
        <v>6549.74</v>
      </c>
      <c r="R23" s="42">
        <f t="shared" si="14"/>
        <v>191517.26</v>
      </c>
      <c r="T23" s="14"/>
    </row>
    <row r="24" spans="1:23" x14ac:dyDescent="0.25">
      <c r="A24" s="29"/>
      <c r="B24" s="44" t="s">
        <v>99</v>
      </c>
      <c r="C24" s="44"/>
      <c r="D24" s="44"/>
      <c r="E24" s="44"/>
      <c r="F24" s="46">
        <f>SUM(F25:F32)</f>
        <v>5360251</v>
      </c>
      <c r="G24" s="46">
        <f>SUM(G25:G32)</f>
        <v>55315.360000000001</v>
      </c>
      <c r="H24" s="47">
        <f t="shared" ref="H24" si="15">SUM(H25:H32)</f>
        <v>5304935.6399999997</v>
      </c>
      <c r="I24" s="46">
        <f>SUM(I25:I32)</f>
        <v>0</v>
      </c>
      <c r="J24" s="46">
        <f t="shared" ref="J24:K24" si="16">SUM(J25:J32)</f>
        <v>0</v>
      </c>
      <c r="K24" s="47">
        <f t="shared" si="16"/>
        <v>0</v>
      </c>
      <c r="L24" s="46">
        <f>SUM(L25:L32)</f>
        <v>4955192</v>
      </c>
      <c r="M24" s="46">
        <f t="shared" ref="M24:N24" si="17">SUM(M25:M32)</f>
        <v>44091.69</v>
      </c>
      <c r="N24" s="47">
        <f t="shared" si="17"/>
        <v>4911100.3099999996</v>
      </c>
      <c r="O24" s="48"/>
      <c r="P24" s="100">
        <f>SUM(P25:P32)</f>
        <v>10315443</v>
      </c>
      <c r="Q24" s="100">
        <f t="shared" ref="Q24" si="18">SUM(Q25:Q32)</f>
        <v>99407.05</v>
      </c>
      <c r="R24" s="47">
        <f>SUM(R25:R32)</f>
        <v>10216035.949999999</v>
      </c>
      <c r="T24" s="14"/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35">
        <f>SUM('SW005:SC180'!F25)</f>
        <v>2914668</v>
      </c>
      <c r="G25" s="35">
        <f>SUM('SW005:SC180'!G25)</f>
        <v>35121</v>
      </c>
      <c r="H25" s="36">
        <f>F25-G25</f>
        <v>2879547</v>
      </c>
      <c r="I25" s="35">
        <f>SUM('SW005:SC180'!I25)</f>
        <v>0</v>
      </c>
      <c r="J25" s="35">
        <f>SUM('SW005:SC180'!J25)</f>
        <v>0</v>
      </c>
      <c r="K25" s="36">
        <f>I25-J25</f>
        <v>0</v>
      </c>
      <c r="L25" s="35">
        <f>SUM('SW005:SC180'!L25)</f>
        <v>2843919</v>
      </c>
      <c r="M25" s="35">
        <f>SUM('SW005:SC180'!M25)</f>
        <v>26940</v>
      </c>
      <c r="N25" s="36">
        <f t="shared" ref="N25:N32" si="19">L25-M25</f>
        <v>2816979</v>
      </c>
      <c r="O25" s="37"/>
      <c r="P25" s="36">
        <f>F25+I25+L25</f>
        <v>5758587</v>
      </c>
      <c r="Q25" s="36">
        <f>G25+J25+M25</f>
        <v>62061</v>
      </c>
      <c r="R25" s="36">
        <f>P25-Q25</f>
        <v>5696526</v>
      </c>
      <c r="T25" s="43"/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35">
        <f>SUM('SW005:SC180'!F26)</f>
        <v>1797945</v>
      </c>
      <c r="G26" s="35">
        <f>SUM('SW005:SC180'!G26)</f>
        <v>13964.7</v>
      </c>
      <c r="H26" s="36">
        <f>F26-G26</f>
        <v>1783980.3</v>
      </c>
      <c r="I26" s="35">
        <f>SUM('SW005:SC180'!I26)</f>
        <v>0</v>
      </c>
      <c r="J26" s="35">
        <f>SUM('SW005:SC180'!J26)</f>
        <v>0</v>
      </c>
      <c r="K26" s="36">
        <f t="shared" ref="K26:K32" si="20">I26-J26</f>
        <v>0</v>
      </c>
      <c r="L26" s="35">
        <f>SUM('SW005:SC180'!L26)</f>
        <v>1493919</v>
      </c>
      <c r="M26" s="35">
        <f>SUM('SW005:SC180'!M26)</f>
        <v>14998.96</v>
      </c>
      <c r="N26" s="36">
        <f t="shared" si="19"/>
        <v>1478920.04</v>
      </c>
      <c r="O26" s="37"/>
      <c r="P26" s="36">
        <f t="shared" ref="P26:P43" si="21">F26+I26+L26</f>
        <v>3291864</v>
      </c>
      <c r="Q26" s="36">
        <f t="shared" ref="Q26:Q43" si="22">G26+J26+M26</f>
        <v>28963.66</v>
      </c>
      <c r="R26" s="36">
        <f t="shared" ref="R26:R32" si="23">P26-Q26</f>
        <v>3262900.34</v>
      </c>
      <c r="T26" s="25"/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35">
        <f>SUM('SW005:SC180'!F27)</f>
        <v>269500</v>
      </c>
      <c r="G27" s="35">
        <f>SUM('SW005:SC180'!G27)</f>
        <v>0</v>
      </c>
      <c r="H27" s="36">
        <f>F27-G27</f>
        <v>269500</v>
      </c>
      <c r="I27" s="35">
        <f>SUM('SW005:SC180'!I27)</f>
        <v>0</v>
      </c>
      <c r="J27" s="35">
        <f>SUM('SW005:SC180'!J27)</f>
        <v>0</v>
      </c>
      <c r="K27" s="36">
        <f t="shared" si="20"/>
        <v>0</v>
      </c>
      <c r="L27" s="35">
        <f>SUM('SW005:SC180'!L27)</f>
        <v>202500</v>
      </c>
      <c r="M27" s="35">
        <f>SUM('SW005:SC180'!M27)</f>
        <v>0</v>
      </c>
      <c r="N27" s="36">
        <f t="shared" si="19"/>
        <v>202500</v>
      </c>
      <c r="O27" s="37"/>
      <c r="P27" s="36">
        <f t="shared" si="21"/>
        <v>472000</v>
      </c>
      <c r="Q27" s="36">
        <f t="shared" si="22"/>
        <v>0</v>
      </c>
      <c r="R27" s="36">
        <f t="shared" si="23"/>
        <v>472000</v>
      </c>
      <c r="T27" s="25"/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35">
        <f>SUM('SW005:SC180'!F28)</f>
        <v>11500</v>
      </c>
      <c r="G28" s="35">
        <f>SUM('SW005:SC180'!G28)</f>
        <v>0</v>
      </c>
      <c r="H28" s="36">
        <f>F28-G28</f>
        <v>11500</v>
      </c>
      <c r="I28" s="35">
        <f>SUM('SW005:SC180'!I28)</f>
        <v>0</v>
      </c>
      <c r="J28" s="35">
        <f>SUM('SW005:SC180'!J28)</f>
        <v>0</v>
      </c>
      <c r="K28" s="36">
        <f t="shared" si="20"/>
        <v>0</v>
      </c>
      <c r="L28" s="35">
        <f>SUM('SW005:SC180'!L28)</f>
        <v>75000</v>
      </c>
      <c r="M28" s="35">
        <f>SUM('SW005:SC180'!M28)</f>
        <v>0</v>
      </c>
      <c r="N28" s="36">
        <f t="shared" si="19"/>
        <v>75000</v>
      </c>
      <c r="O28" s="37"/>
      <c r="P28" s="36">
        <f t="shared" si="21"/>
        <v>86500</v>
      </c>
      <c r="Q28" s="36">
        <f t="shared" si="22"/>
        <v>0</v>
      </c>
      <c r="R28" s="36">
        <f t="shared" si="23"/>
        <v>86500</v>
      </c>
      <c r="T28" s="25"/>
    </row>
    <row r="29" spans="1:23" x14ac:dyDescent="0.25">
      <c r="A29" s="127" t="s">
        <v>17</v>
      </c>
      <c r="B29" s="1"/>
      <c r="C29" s="128" t="s">
        <v>98</v>
      </c>
      <c r="D29" s="129"/>
      <c r="E29" s="129"/>
      <c r="F29" s="131">
        <f>SUM('SW005:SC180'!F29)</f>
        <v>20500</v>
      </c>
      <c r="G29" s="131">
        <f>SUM('SW005:SC180'!G29)</f>
        <v>0</v>
      </c>
      <c r="H29" s="132">
        <f t="shared" ref="H29:H31" si="24">F29-G29</f>
        <v>20500</v>
      </c>
      <c r="I29" s="35">
        <f>SUM('SW005:SC180'!I29)</f>
        <v>0</v>
      </c>
      <c r="J29" s="131">
        <f>SUM('SW005:SC180'!J29)</f>
        <v>0</v>
      </c>
      <c r="K29" s="132">
        <f t="shared" si="20"/>
        <v>0</v>
      </c>
      <c r="L29" s="131">
        <f>SUM('SW005:SC180'!L29)</f>
        <v>12000</v>
      </c>
      <c r="M29" s="131">
        <f>SUM('SW005:SC180'!M29)</f>
        <v>0</v>
      </c>
      <c r="N29" s="132">
        <f t="shared" si="19"/>
        <v>12000</v>
      </c>
      <c r="O29" s="37"/>
      <c r="P29" s="36">
        <f t="shared" si="21"/>
        <v>32500</v>
      </c>
      <c r="Q29" s="132">
        <f t="shared" si="22"/>
        <v>0</v>
      </c>
      <c r="R29" s="132">
        <f t="shared" si="23"/>
        <v>32500</v>
      </c>
      <c r="T29" s="25"/>
    </row>
    <row r="30" spans="1:23" x14ac:dyDescent="0.25">
      <c r="A30" s="127" t="s">
        <v>17</v>
      </c>
      <c r="B30" s="1"/>
      <c r="C30" s="128" t="s">
        <v>97</v>
      </c>
      <c r="D30" s="129"/>
      <c r="E30" s="129"/>
      <c r="F30" s="131">
        <f>SUM('SW005:SC180'!F30)</f>
        <v>202149</v>
      </c>
      <c r="G30" s="131">
        <f>SUM('SW005:SC180'!G30)</f>
        <v>0</v>
      </c>
      <c r="H30" s="132">
        <f t="shared" si="24"/>
        <v>202149</v>
      </c>
      <c r="I30" s="35">
        <f>SUM('SW005:SC180'!I30)</f>
        <v>0</v>
      </c>
      <c r="J30" s="131">
        <f>SUM('SW005:SC180'!J30)</f>
        <v>0</v>
      </c>
      <c r="K30" s="132">
        <f t="shared" si="20"/>
        <v>0</v>
      </c>
      <c r="L30" s="131">
        <f>SUM('SW005:SC180'!L30)</f>
        <v>76701</v>
      </c>
      <c r="M30" s="131">
        <f>SUM('SW005:SC180'!M30)</f>
        <v>0</v>
      </c>
      <c r="N30" s="132">
        <f t="shared" si="19"/>
        <v>76701</v>
      </c>
      <c r="O30" s="37"/>
      <c r="P30" s="36">
        <f t="shared" si="21"/>
        <v>278850</v>
      </c>
      <c r="Q30" s="132">
        <f t="shared" si="22"/>
        <v>0</v>
      </c>
      <c r="R30" s="132">
        <f t="shared" si="23"/>
        <v>278850</v>
      </c>
      <c r="T30" s="25"/>
    </row>
    <row r="31" spans="1:23" x14ac:dyDescent="0.25">
      <c r="A31" s="127" t="s">
        <v>17</v>
      </c>
      <c r="B31" s="1"/>
      <c r="C31" s="128" t="s">
        <v>96</v>
      </c>
      <c r="D31" s="129"/>
      <c r="E31" s="129"/>
      <c r="F31" s="131">
        <f>SUM('SW005:SC180'!F31)</f>
        <v>0</v>
      </c>
      <c r="G31" s="131">
        <f>SUM('SW005:SC180'!G31)</f>
        <v>0</v>
      </c>
      <c r="H31" s="132">
        <f t="shared" si="24"/>
        <v>0</v>
      </c>
      <c r="I31" s="35">
        <f>SUM('SW005:SC180'!I31)</f>
        <v>0</v>
      </c>
      <c r="J31" s="131">
        <f>SUM('SW005:SC180'!J31)</f>
        <v>0</v>
      </c>
      <c r="K31" s="132">
        <f t="shared" si="20"/>
        <v>0</v>
      </c>
      <c r="L31" s="131">
        <f>SUM('SW005:SC180'!L31)</f>
        <v>0</v>
      </c>
      <c r="M31" s="131">
        <f>SUM('SW005:SC180'!M31)</f>
        <v>0</v>
      </c>
      <c r="N31" s="132">
        <f t="shared" si="19"/>
        <v>0</v>
      </c>
      <c r="O31" s="37"/>
      <c r="P31" s="36">
        <f t="shared" si="21"/>
        <v>0</v>
      </c>
      <c r="Q31" s="132">
        <f t="shared" si="22"/>
        <v>0</v>
      </c>
      <c r="R31" s="132">
        <f t="shared" si="23"/>
        <v>0</v>
      </c>
      <c r="T31" s="25"/>
    </row>
    <row r="32" spans="1:23" ht="15.75" thickBot="1" x14ac:dyDescent="0.3">
      <c r="A32" s="29" t="s">
        <v>17</v>
      </c>
      <c r="B32" s="38"/>
      <c r="C32" s="39" t="s">
        <v>100</v>
      </c>
      <c r="D32" s="40"/>
      <c r="E32" s="40"/>
      <c r="F32" s="41">
        <f>SUM('SW005:SC180'!F32)</f>
        <v>143989</v>
      </c>
      <c r="G32" s="41">
        <f>SUM('SW005:SC180'!G32)</f>
        <v>6229.66</v>
      </c>
      <c r="H32" s="42">
        <f>F32-G32</f>
        <v>137759.34</v>
      </c>
      <c r="I32" s="41">
        <f>SUM('SW005:SC180'!I32)</f>
        <v>0</v>
      </c>
      <c r="J32" s="41">
        <f>SUM('SW005:SC180'!J32)</f>
        <v>0</v>
      </c>
      <c r="K32" s="42">
        <f t="shared" si="20"/>
        <v>0</v>
      </c>
      <c r="L32" s="41">
        <f>SUM('SW005:SC180'!L32)</f>
        <v>251153</v>
      </c>
      <c r="M32" s="41">
        <f>SUM('SW005:SC180'!M32)</f>
        <v>2152.73</v>
      </c>
      <c r="N32" s="42">
        <f t="shared" si="19"/>
        <v>249000.27</v>
      </c>
      <c r="O32" s="37"/>
      <c r="P32" s="42">
        <f t="shared" si="21"/>
        <v>395142</v>
      </c>
      <c r="Q32" s="42">
        <f t="shared" si="22"/>
        <v>8382.39</v>
      </c>
      <c r="R32" s="42">
        <f t="shared" si="23"/>
        <v>386759.61</v>
      </c>
      <c r="T32" s="14"/>
    </row>
    <row r="33" spans="1:20" x14ac:dyDescent="0.25">
      <c r="A33" s="29"/>
      <c r="B33" s="44" t="s">
        <v>26</v>
      </c>
      <c r="C33" s="44"/>
      <c r="D33" s="44"/>
      <c r="E33" s="44"/>
      <c r="F33" s="46">
        <f t="shared" ref="F33:N33" si="25">SUM(F34:F43)</f>
        <v>0</v>
      </c>
      <c r="G33" s="46">
        <f t="shared" si="25"/>
        <v>0</v>
      </c>
      <c r="H33" s="67">
        <f t="shared" si="25"/>
        <v>0</v>
      </c>
      <c r="I33" s="46">
        <f t="shared" si="25"/>
        <v>22763333</v>
      </c>
      <c r="J33" s="46">
        <f t="shared" si="25"/>
        <v>372540.77</v>
      </c>
      <c r="K33" s="67">
        <f t="shared" si="25"/>
        <v>22390792.23</v>
      </c>
      <c r="L33" s="46">
        <f t="shared" si="25"/>
        <v>0</v>
      </c>
      <c r="M33" s="46">
        <f t="shared" si="25"/>
        <v>0</v>
      </c>
      <c r="N33" s="67">
        <f t="shared" si="25"/>
        <v>0</v>
      </c>
      <c r="O33" s="48"/>
      <c r="P33" s="100">
        <f>SUM(P34:P43)</f>
        <v>22763333</v>
      </c>
      <c r="Q33" s="100">
        <f>SUM(Q34:Q43)</f>
        <v>372540.77</v>
      </c>
      <c r="R33" s="47">
        <f>SUM(R34:R43)</f>
        <v>22390792.23</v>
      </c>
      <c r="T33" s="14"/>
    </row>
    <row r="34" spans="1:20" x14ac:dyDescent="0.25">
      <c r="A34" s="29" t="s">
        <v>17</v>
      </c>
      <c r="C34" s="186" t="s">
        <v>67</v>
      </c>
      <c r="D34" s="187"/>
      <c r="E34" s="187"/>
      <c r="F34" s="171"/>
      <c r="G34" s="171"/>
      <c r="H34" s="172"/>
      <c r="I34" s="35">
        <f>SUM('SW005:SC180'!I34)</f>
        <v>3055453</v>
      </c>
      <c r="J34" s="35">
        <f>SUM('SW005:SC180'!J34)</f>
        <v>54879.68</v>
      </c>
      <c r="K34" s="36">
        <f t="shared" ref="K34:K43" si="26">I34-J34</f>
        <v>3000573.32</v>
      </c>
      <c r="L34" s="182"/>
      <c r="M34" s="171"/>
      <c r="N34" s="172"/>
      <c r="O34" s="37"/>
      <c r="P34" s="36">
        <f t="shared" si="21"/>
        <v>3055453</v>
      </c>
      <c r="Q34" s="36">
        <f t="shared" si="22"/>
        <v>54879.68</v>
      </c>
      <c r="R34" s="36">
        <f t="shared" ref="R34:R43" si="27">P34-Q34</f>
        <v>3000573.32</v>
      </c>
      <c r="T34" s="14"/>
    </row>
    <row r="35" spans="1:20" x14ac:dyDescent="0.25">
      <c r="A35" s="29" t="s">
        <v>17</v>
      </c>
      <c r="C35" s="186" t="s">
        <v>64</v>
      </c>
      <c r="D35" s="187"/>
      <c r="E35" s="187"/>
      <c r="F35" s="173"/>
      <c r="G35" s="173"/>
      <c r="H35" s="174"/>
      <c r="I35" s="35">
        <f>SUM('SW005:SC180'!I35)</f>
        <v>3991525</v>
      </c>
      <c r="J35" s="35">
        <f>SUM('SW005:SC180'!J35)</f>
        <v>0</v>
      </c>
      <c r="K35" s="36">
        <f t="shared" si="26"/>
        <v>3991525</v>
      </c>
      <c r="L35" s="183"/>
      <c r="M35" s="173"/>
      <c r="N35" s="174"/>
      <c r="O35" s="37"/>
      <c r="P35" s="36">
        <f t="shared" si="21"/>
        <v>3991525</v>
      </c>
      <c r="Q35" s="36">
        <f t="shared" si="22"/>
        <v>0</v>
      </c>
      <c r="R35" s="36">
        <f t="shared" si="27"/>
        <v>3991525</v>
      </c>
      <c r="T35" s="14"/>
    </row>
    <row r="36" spans="1:20" x14ac:dyDescent="0.25">
      <c r="A36" s="29" t="s">
        <v>17</v>
      </c>
      <c r="C36" s="50" t="s">
        <v>65</v>
      </c>
      <c r="D36" s="51"/>
      <c r="E36" s="51"/>
      <c r="F36" s="173"/>
      <c r="G36" s="173"/>
      <c r="H36" s="174"/>
      <c r="I36" s="35">
        <f>SUM('SW005:SC180'!I36)</f>
        <v>3233568</v>
      </c>
      <c r="J36" s="35">
        <f>SUM('SW005:SC180'!J36)</f>
        <v>2551.33</v>
      </c>
      <c r="K36" s="36">
        <f t="shared" si="26"/>
        <v>3231016.67</v>
      </c>
      <c r="L36" s="183"/>
      <c r="M36" s="173"/>
      <c r="N36" s="174"/>
      <c r="O36" s="37"/>
      <c r="P36" s="36">
        <f t="shared" si="21"/>
        <v>3233568</v>
      </c>
      <c r="Q36" s="36">
        <f t="shared" si="22"/>
        <v>2551.33</v>
      </c>
      <c r="R36" s="36">
        <f t="shared" si="27"/>
        <v>3231016.67</v>
      </c>
      <c r="T36" s="14"/>
    </row>
    <row r="37" spans="1:20" x14ac:dyDescent="0.25">
      <c r="A37" s="29" t="s">
        <v>17</v>
      </c>
      <c r="B37" s="96"/>
      <c r="C37" s="50" t="s">
        <v>71</v>
      </c>
      <c r="D37" s="51"/>
      <c r="E37" s="51"/>
      <c r="F37" s="173"/>
      <c r="G37" s="173"/>
      <c r="H37" s="174"/>
      <c r="I37" s="35">
        <f>SUM('SW005:SC180'!I37)</f>
        <v>8674682</v>
      </c>
      <c r="J37" s="35">
        <f>SUM('SW005:SC180'!J37)</f>
        <v>239340.89</v>
      </c>
      <c r="K37" s="36">
        <f t="shared" si="26"/>
        <v>8435341.1099999994</v>
      </c>
      <c r="L37" s="183"/>
      <c r="M37" s="173"/>
      <c r="N37" s="174"/>
      <c r="O37" s="37"/>
      <c r="P37" s="36">
        <f t="shared" si="21"/>
        <v>8674682</v>
      </c>
      <c r="Q37" s="36">
        <f t="shared" si="22"/>
        <v>239340.89</v>
      </c>
      <c r="R37" s="36">
        <f t="shared" si="27"/>
        <v>8435341.1099999994</v>
      </c>
      <c r="T37" s="14"/>
    </row>
    <row r="38" spans="1:20" x14ac:dyDescent="0.25">
      <c r="A38" s="127" t="s">
        <v>17</v>
      </c>
      <c r="B38" s="4"/>
      <c r="C38" s="125" t="s">
        <v>95</v>
      </c>
      <c r="D38" s="126"/>
      <c r="E38" s="126"/>
      <c r="F38" s="173"/>
      <c r="G38" s="173"/>
      <c r="H38" s="174"/>
      <c r="I38" s="35">
        <f>SUM('SW005:SC180'!I38)</f>
        <v>188783</v>
      </c>
      <c r="J38" s="35">
        <f>SUM('SW005:SC180'!J38)</f>
        <v>0</v>
      </c>
      <c r="K38" s="36">
        <f t="shared" si="26"/>
        <v>188783</v>
      </c>
      <c r="L38" s="183"/>
      <c r="M38" s="173"/>
      <c r="N38" s="174"/>
      <c r="O38" s="37"/>
      <c r="P38" s="36">
        <f t="shared" si="21"/>
        <v>188783</v>
      </c>
      <c r="Q38" s="36">
        <f t="shared" si="22"/>
        <v>0</v>
      </c>
      <c r="R38" s="36">
        <f t="shared" si="27"/>
        <v>188783</v>
      </c>
      <c r="T38" s="14"/>
    </row>
    <row r="39" spans="1:20" x14ac:dyDescent="0.25">
      <c r="A39" s="29" t="s">
        <v>17</v>
      </c>
      <c r="C39" s="186" t="s">
        <v>68</v>
      </c>
      <c r="D39" s="187"/>
      <c r="E39" s="187"/>
      <c r="F39" s="173"/>
      <c r="G39" s="173"/>
      <c r="H39" s="174"/>
      <c r="I39" s="35">
        <f>SUM('SW005:SC180'!I39)</f>
        <v>454312</v>
      </c>
      <c r="J39" s="35">
        <f>SUM('SW005:SC180'!J39)</f>
        <v>21586.76</v>
      </c>
      <c r="K39" s="36">
        <f t="shared" si="26"/>
        <v>432725.24</v>
      </c>
      <c r="L39" s="183"/>
      <c r="M39" s="173"/>
      <c r="N39" s="174"/>
      <c r="O39" s="37"/>
      <c r="P39" s="36">
        <f t="shared" si="21"/>
        <v>454312</v>
      </c>
      <c r="Q39" s="36">
        <f t="shared" si="22"/>
        <v>21586.76</v>
      </c>
      <c r="R39" s="36">
        <f t="shared" si="27"/>
        <v>432725.24</v>
      </c>
      <c r="T39" s="14"/>
    </row>
    <row r="40" spans="1:20" x14ac:dyDescent="0.25">
      <c r="A40" s="29" t="s">
        <v>17</v>
      </c>
      <c r="C40" s="186" t="s">
        <v>66</v>
      </c>
      <c r="D40" s="187"/>
      <c r="E40" s="187"/>
      <c r="F40" s="173"/>
      <c r="G40" s="173"/>
      <c r="H40" s="174"/>
      <c r="I40" s="35">
        <f>SUM('SW005:SC180'!I40)</f>
        <v>619964</v>
      </c>
      <c r="J40" s="35">
        <f>SUM('SW005:SC180'!J40)</f>
        <v>0</v>
      </c>
      <c r="K40" s="36">
        <f t="shared" si="26"/>
        <v>619964</v>
      </c>
      <c r="L40" s="183"/>
      <c r="M40" s="173"/>
      <c r="N40" s="174"/>
      <c r="O40" s="37"/>
      <c r="P40" s="36">
        <f t="shared" si="21"/>
        <v>619964</v>
      </c>
      <c r="Q40" s="36">
        <f t="shared" si="22"/>
        <v>0</v>
      </c>
      <c r="R40" s="36">
        <f t="shared" si="27"/>
        <v>619964</v>
      </c>
      <c r="T40" s="14"/>
    </row>
    <row r="41" spans="1:20" x14ac:dyDescent="0.25">
      <c r="A41" s="29" t="s">
        <v>17</v>
      </c>
      <c r="C41" s="50" t="s">
        <v>70</v>
      </c>
      <c r="D41" s="51"/>
      <c r="E41" s="51"/>
      <c r="F41" s="173"/>
      <c r="G41" s="173"/>
      <c r="H41" s="174"/>
      <c r="I41" s="35">
        <f>SUM('SW005:SC180'!I41)</f>
        <v>658370</v>
      </c>
      <c r="J41" s="35">
        <f>SUM('SW005:SC180'!J41)</f>
        <v>0</v>
      </c>
      <c r="K41" s="36">
        <f t="shared" si="26"/>
        <v>658370</v>
      </c>
      <c r="L41" s="183"/>
      <c r="M41" s="173"/>
      <c r="N41" s="174"/>
      <c r="O41" s="37"/>
      <c r="P41" s="36">
        <f t="shared" si="21"/>
        <v>658370</v>
      </c>
      <c r="Q41" s="36">
        <f t="shared" si="22"/>
        <v>0</v>
      </c>
      <c r="R41" s="36">
        <f t="shared" si="27"/>
        <v>658370</v>
      </c>
      <c r="T41" s="14"/>
    </row>
    <row r="42" spans="1:20" x14ac:dyDescent="0.25">
      <c r="A42" s="127" t="s">
        <v>17</v>
      </c>
      <c r="C42" s="128" t="s">
        <v>72</v>
      </c>
      <c r="D42" s="129"/>
      <c r="E42" s="129"/>
      <c r="F42" s="173"/>
      <c r="G42" s="173"/>
      <c r="H42" s="174"/>
      <c r="I42" s="131">
        <f>SUM('SW005:SC180'!I42)</f>
        <v>1885186</v>
      </c>
      <c r="J42" s="131">
        <f>SUM('SW005:SC180'!J42)</f>
        <v>54182.11</v>
      </c>
      <c r="K42" s="132">
        <f t="shared" si="26"/>
        <v>1831003.89</v>
      </c>
      <c r="L42" s="183"/>
      <c r="M42" s="173"/>
      <c r="N42" s="174"/>
      <c r="O42" s="37"/>
      <c r="P42" s="36">
        <f t="shared" si="21"/>
        <v>1885186</v>
      </c>
      <c r="Q42" s="132">
        <f t="shared" si="22"/>
        <v>54182.11</v>
      </c>
      <c r="R42" s="132">
        <f t="shared" si="27"/>
        <v>1831003.89</v>
      </c>
      <c r="T42" s="14"/>
    </row>
    <row r="43" spans="1:20" ht="15.75" thickBot="1" x14ac:dyDescent="0.3">
      <c r="A43" s="29" t="s">
        <v>17</v>
      </c>
      <c r="B43" s="93"/>
      <c r="C43" s="39" t="s">
        <v>94</v>
      </c>
      <c r="D43" s="40"/>
      <c r="E43" s="40"/>
      <c r="F43" s="175"/>
      <c r="G43" s="175"/>
      <c r="H43" s="176"/>
      <c r="I43" s="41">
        <f>SUM('SW005:SC180'!I43)</f>
        <v>1490</v>
      </c>
      <c r="J43" s="41">
        <f>SUM('SW005:SC180'!J43)</f>
        <v>0</v>
      </c>
      <c r="K43" s="42">
        <f t="shared" si="26"/>
        <v>1490</v>
      </c>
      <c r="L43" s="184"/>
      <c r="M43" s="175"/>
      <c r="N43" s="176"/>
      <c r="O43" s="37"/>
      <c r="P43" s="42">
        <f t="shared" si="21"/>
        <v>1490</v>
      </c>
      <c r="Q43" s="42">
        <f t="shared" si="22"/>
        <v>0</v>
      </c>
      <c r="R43" s="42">
        <f t="shared" si="27"/>
        <v>1490</v>
      </c>
      <c r="T43" s="14"/>
    </row>
    <row r="44" spans="1:20" ht="15.75" thickBot="1" x14ac:dyDescent="0.3">
      <c r="A44" s="29"/>
      <c r="B44" s="103" t="s">
        <v>29</v>
      </c>
      <c r="C44" s="104"/>
      <c r="D44" s="104"/>
      <c r="E44" s="104"/>
      <c r="F44" s="102">
        <f t="shared" ref="F44:N44" si="28">F14+F17+F24+F33</f>
        <v>23069554</v>
      </c>
      <c r="G44" s="102">
        <f t="shared" si="28"/>
        <v>442831.00999999995</v>
      </c>
      <c r="H44" s="102">
        <f t="shared" si="28"/>
        <v>22626722.990000002</v>
      </c>
      <c r="I44" s="102">
        <f t="shared" si="28"/>
        <v>25179677</v>
      </c>
      <c r="J44" s="102">
        <f t="shared" si="28"/>
        <v>416431.77</v>
      </c>
      <c r="K44" s="102">
        <f t="shared" si="28"/>
        <v>24763245.23</v>
      </c>
      <c r="L44" s="102">
        <f t="shared" si="28"/>
        <v>21565552</v>
      </c>
      <c r="M44" s="102">
        <f t="shared" si="28"/>
        <v>614375.53</v>
      </c>
      <c r="N44" s="102">
        <f t="shared" si="28"/>
        <v>20951176.469999999</v>
      </c>
      <c r="O44" s="37"/>
      <c r="P44" s="102">
        <f t="shared" ref="P44:R44" si="29">P14+P17+P24+P33</f>
        <v>69814783</v>
      </c>
      <c r="Q44" s="102">
        <f t="shared" si="29"/>
        <v>1473638.31</v>
      </c>
      <c r="R44" s="102">
        <f t="shared" si="29"/>
        <v>68341144.690000013</v>
      </c>
      <c r="T44" s="14"/>
    </row>
    <row r="45" spans="1:20" ht="15.75" thickTop="1" x14ac:dyDescent="0.25">
      <c r="A45" s="29"/>
      <c r="B45" s="14"/>
      <c r="C45" s="89"/>
      <c r="D45" s="89"/>
      <c r="E45" s="89"/>
      <c r="F45" s="90" t="str">
        <f>IF(F44&lt;&gt;F10,"Calculation Error","")</f>
        <v>Calculation Error</v>
      </c>
      <c r="G45" s="90"/>
      <c r="H45" s="90"/>
      <c r="I45" s="90" t="str">
        <f>IF(I44&lt;&gt;I10,"Calculation Error","")</f>
        <v>Calculation Error</v>
      </c>
      <c r="J45" s="90"/>
      <c r="K45" s="90"/>
      <c r="L45" s="90" t="str">
        <f>IF(L44&lt;&gt;L10,"Calculation Error","")</f>
        <v>Calculation Error</v>
      </c>
      <c r="M45" s="90"/>
      <c r="N45" s="90"/>
      <c r="O45" s="37"/>
      <c r="P45" s="90" t="str">
        <f>IF(P44&lt;&gt;P10,"Calculation Error","")</f>
        <v>Calculation Error</v>
      </c>
      <c r="Q45" s="90"/>
      <c r="R45" s="90"/>
      <c r="T45" s="14"/>
    </row>
    <row r="46" spans="1:20" x14ac:dyDescent="0.25">
      <c r="A46" s="29"/>
      <c r="B46" s="14"/>
      <c r="C46" s="89"/>
      <c r="D46" s="89"/>
      <c r="E46" s="89"/>
      <c r="F46" s="90"/>
      <c r="G46" s="90"/>
      <c r="H46" s="90"/>
      <c r="I46" s="90" t="str">
        <f>IF(I34+I35+I39+I40&lt;((I10-I14)*20%),"WBT ERROR","")</f>
        <v/>
      </c>
      <c r="J46" s="90"/>
      <c r="K46" s="90"/>
      <c r="L46" s="90"/>
      <c r="M46" s="90"/>
      <c r="N46" s="90"/>
      <c r="O46" s="37"/>
      <c r="P46" s="90"/>
      <c r="Q46" s="90"/>
      <c r="R46" s="90"/>
      <c r="T46" s="14"/>
    </row>
    <row r="47" spans="1:20" x14ac:dyDescent="0.25">
      <c r="A47" s="185" t="s">
        <v>75</v>
      </c>
      <c r="B47" s="185"/>
      <c r="C47" s="185"/>
      <c r="D47" s="185"/>
      <c r="E47" s="185"/>
      <c r="F47" s="185"/>
      <c r="G47" s="90"/>
      <c r="H47" s="90"/>
      <c r="I47" s="90"/>
      <c r="J47" s="90"/>
      <c r="K47" s="90"/>
      <c r="L47" s="90"/>
      <c r="M47" s="90"/>
      <c r="N47" s="90"/>
      <c r="O47" s="37"/>
      <c r="P47" s="90"/>
      <c r="Q47" s="90"/>
      <c r="R47" s="90"/>
      <c r="T47" s="14"/>
    </row>
    <row r="48" spans="1:20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109"/>
      <c r="J48" s="54"/>
      <c r="K48" s="54"/>
      <c r="L48" s="29"/>
      <c r="M48" s="29"/>
      <c r="N48" s="29"/>
      <c r="O48" s="55"/>
      <c r="P48" s="56"/>
      <c r="Q48" s="56"/>
      <c r="R48" s="56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09"/>
      <c r="J49" s="113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 fitToPage="1">
      <selection activeCell="B5" sqref="B5"/>
      <pageMargins left="0.75" right="0.75" top="1" bottom="1" header="0.5" footer="0.5"/>
      <pageSetup scale="33" orientation="landscape" r:id="rId1"/>
      <headerFooter alignWithMargins="0"/>
    </customSheetView>
    <customSheetView guid="{EC8DBB44-CD50-4F4D-AF3E-1635D8743D7B}" scale="90" fitToPage="1">
      <selection activeCell="B5" sqref="B5"/>
      <pageMargins left="0.75" right="0.75" top="1" bottom="1" header="0.5" footer="0.5"/>
      <pageSetup scale="33" orientation="landscape" r:id="rId2"/>
      <headerFooter alignWithMargins="0"/>
    </customSheetView>
  </customSheetViews>
  <mergeCells count="25">
    <mergeCell ref="A59:F59"/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C39:E39"/>
    <mergeCell ref="C40:E40"/>
    <mergeCell ref="A47:F47"/>
    <mergeCell ref="C35:E35"/>
    <mergeCell ref="C34:E34"/>
    <mergeCell ref="F34:H43"/>
    <mergeCell ref="C15:E15"/>
    <mergeCell ref="C18:E18"/>
    <mergeCell ref="C19:E19"/>
    <mergeCell ref="C20:E20"/>
    <mergeCell ref="C26:E26"/>
    <mergeCell ref="C22:E22"/>
    <mergeCell ref="C23:E23"/>
    <mergeCell ref="C25:E25"/>
  </mergeCells>
  <phoneticPr fontId="2" type="noConversion"/>
  <pageMargins left="0.75" right="0.75" top="1" bottom="1" header="0.5" footer="0.5"/>
  <pageSetup scale="59" fitToHeight="10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46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1095804-5422+F11+3361.23</f>
        <v>1324293.23</v>
      </c>
      <c r="G10" s="22">
        <f>G44</f>
        <v>0</v>
      </c>
      <c r="H10" s="23">
        <f>F10-G10</f>
        <v>1324293.23</v>
      </c>
      <c r="I10" s="22">
        <v>1211571</v>
      </c>
      <c r="J10" s="22">
        <f>J44</f>
        <v>0</v>
      </c>
      <c r="K10" s="23">
        <f>I10-J10</f>
        <v>1211571</v>
      </c>
      <c r="L10" s="22">
        <f>1201931-11218-F11+9101.13</f>
        <v>969264.13</v>
      </c>
      <c r="M10" s="22">
        <f>M44</f>
        <v>0</v>
      </c>
      <c r="N10" s="23">
        <f>L10-M10</f>
        <v>969264.13</v>
      </c>
      <c r="O10" s="24"/>
      <c r="P10" s="22">
        <f>F10+I10+L10</f>
        <v>3505128.36</v>
      </c>
      <c r="Q10" s="22">
        <f>Q41</f>
        <v>0</v>
      </c>
      <c r="R10" s="23">
        <f>P10-Q10</f>
        <v>3505128.36</v>
      </c>
    </row>
    <row r="11" spans="1:41" ht="15.75" thickTop="1" x14ac:dyDescent="0.25">
      <c r="B11" s="134" t="s">
        <v>106</v>
      </c>
      <c r="C11" s="134"/>
      <c r="E11" s="157" t="s">
        <v>133</v>
      </c>
      <c r="F11" s="159">
        <v>230550</v>
      </c>
      <c r="H11" s="6"/>
      <c r="K11" s="6"/>
      <c r="L11" s="159">
        <v>-230550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109039</v>
      </c>
      <c r="G14" s="32">
        <f>SUM(G15:G16)</f>
        <v>0</v>
      </c>
      <c r="H14" s="33">
        <f>SUM(H15:H16)</f>
        <v>109039</v>
      </c>
      <c r="I14" s="32">
        <f>SUM(I15:I16)</f>
        <v>121157</v>
      </c>
      <c r="J14" s="32">
        <f t="shared" ref="J14:K14" si="0">SUM(J15:J16)</f>
        <v>0</v>
      </c>
      <c r="K14" s="33">
        <f t="shared" si="0"/>
        <v>121157</v>
      </c>
      <c r="L14" s="32">
        <f>SUM(L15:L16)</f>
        <v>119071</v>
      </c>
      <c r="M14" s="32">
        <f t="shared" ref="M14:N14" si="1">SUM(M15:M16)</f>
        <v>0</v>
      </c>
      <c r="N14" s="33">
        <f t="shared" si="1"/>
        <v>119071</v>
      </c>
      <c r="O14" s="34"/>
      <c r="P14" s="99">
        <f>SUM(P15:P16)</f>
        <v>349267</v>
      </c>
      <c r="Q14" s="99">
        <f t="shared" ref="Q14:R14" si="2">SUM(Q15:Q16)</f>
        <v>0</v>
      </c>
      <c r="R14" s="33">
        <f t="shared" si="2"/>
        <v>349267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138">
        <v>71542</v>
      </c>
      <c r="G15" s="58"/>
      <c r="H15" s="59">
        <f>F15-G15</f>
        <v>71542</v>
      </c>
      <c r="I15" s="60">
        <v>79698</v>
      </c>
      <c r="J15" s="61"/>
      <c r="K15" s="62">
        <f>I15-J15</f>
        <v>79698</v>
      </c>
      <c r="L15" s="139">
        <v>77942</v>
      </c>
      <c r="M15" s="61"/>
      <c r="N15" s="62">
        <f>L15-M15</f>
        <v>77942</v>
      </c>
      <c r="O15" s="37"/>
      <c r="P15" s="64">
        <f t="shared" ref="P15:P16" si="3">F15+I15+L15</f>
        <v>229182</v>
      </c>
      <c r="Q15" s="64">
        <f>G15+J15+M15</f>
        <v>0</v>
      </c>
      <c r="R15" s="64">
        <f>P15-Q15</f>
        <v>229182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37497</v>
      </c>
      <c r="G16" s="58"/>
      <c r="H16" s="59">
        <f>F16-G16</f>
        <v>37497</v>
      </c>
      <c r="I16" s="60">
        <v>41459</v>
      </c>
      <c r="J16" s="61"/>
      <c r="K16" s="62">
        <f>I16-J16</f>
        <v>41459</v>
      </c>
      <c r="L16" s="63">
        <v>41129</v>
      </c>
      <c r="M16" s="61"/>
      <c r="N16" s="62">
        <f>L16-M16</f>
        <v>41129</v>
      </c>
      <c r="O16" s="37"/>
      <c r="P16" s="64">
        <f t="shared" si="3"/>
        <v>120085</v>
      </c>
      <c r="Q16" s="64">
        <f>G16+J16+M16</f>
        <v>0</v>
      </c>
      <c r="R16" s="64">
        <f>P16-Q16</f>
        <v>120085</v>
      </c>
      <c r="U16" s="1" t="s">
        <v>126</v>
      </c>
      <c r="V16" s="153">
        <f>F17+F24+L17+L24</f>
        <v>2052986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581344</v>
      </c>
      <c r="G17" s="66">
        <f>SUM(G18:G23)</f>
        <v>0</v>
      </c>
      <c r="H17" s="67">
        <f t="shared" ref="H17" si="4">SUM(H18:H23)</f>
        <v>581344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759818</v>
      </c>
      <c r="M17" s="66">
        <f>SUM(M18:M23)</f>
        <v>0</v>
      </c>
      <c r="N17" s="67">
        <f t="shared" ref="N17" si="6">SUM(N18:N23)</f>
        <v>759818</v>
      </c>
      <c r="O17" s="48"/>
      <c r="P17" s="101">
        <f>SUM(P18:P23)</f>
        <v>1341162</v>
      </c>
      <c r="Q17" s="101">
        <f t="shared" ref="Q17:R17" si="7">SUM(Q18:Q23)</f>
        <v>0</v>
      </c>
      <c r="R17" s="67">
        <f t="shared" si="7"/>
        <v>1341162</v>
      </c>
      <c r="U17" s="1" t="s">
        <v>127</v>
      </c>
      <c r="V17" s="153">
        <f>F24+L24</f>
        <v>711824</v>
      </c>
      <c r="W17" s="1">
        <f>V17/V16</f>
        <v>0.34672618322774729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145866</v>
      </c>
      <c r="G18" s="58"/>
      <c r="H18" s="59">
        <f t="shared" ref="H18:H23" si="8">F18-G18</f>
        <v>145866</v>
      </c>
      <c r="I18" s="60"/>
      <c r="J18" s="61"/>
      <c r="K18" s="62">
        <f t="shared" ref="K18:K23" si="9">I18-J18</f>
        <v>0</v>
      </c>
      <c r="L18" s="139">
        <v>167154</v>
      </c>
      <c r="M18" s="61"/>
      <c r="N18" s="62">
        <f t="shared" ref="N18:N23" si="10">L18-M18</f>
        <v>167154</v>
      </c>
      <c r="O18" s="37"/>
      <c r="P18" s="64">
        <f t="shared" ref="P18:P23" si="11">F18+I18+L18</f>
        <v>313020</v>
      </c>
      <c r="Q18" s="64">
        <f>G18+J18+M18</f>
        <v>0</v>
      </c>
      <c r="R18" s="64">
        <f t="shared" ref="R18:R23" si="12">P18-Q18</f>
        <v>313020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32020</v>
      </c>
      <c r="G19" s="58"/>
      <c r="H19" s="59">
        <f t="shared" si="8"/>
        <v>32020</v>
      </c>
      <c r="I19" s="60"/>
      <c r="J19" s="61"/>
      <c r="K19" s="62">
        <f t="shared" si="9"/>
        <v>0</v>
      </c>
      <c r="L19" s="63">
        <v>36353</v>
      </c>
      <c r="M19" s="61"/>
      <c r="N19" s="62">
        <f t="shared" si="10"/>
        <v>36353</v>
      </c>
      <c r="O19" s="37"/>
      <c r="P19" s="64">
        <f t="shared" si="11"/>
        <v>68373</v>
      </c>
      <c r="Q19" s="64">
        <f>G19+J19+M19</f>
        <v>0</v>
      </c>
      <c r="R19" s="64">
        <f t="shared" si="12"/>
        <v>68373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138">
        <v>403458</v>
      </c>
      <c r="G20" s="58"/>
      <c r="H20" s="59">
        <f t="shared" si="8"/>
        <v>403458</v>
      </c>
      <c r="I20" s="60"/>
      <c r="J20" s="61"/>
      <c r="K20" s="62">
        <f t="shared" si="9"/>
        <v>0</v>
      </c>
      <c r="L20" s="63">
        <v>556311</v>
      </c>
      <c r="M20" s="61"/>
      <c r="N20" s="62">
        <f t="shared" si="10"/>
        <v>556311</v>
      </c>
      <c r="O20" s="37"/>
      <c r="P20" s="64">
        <f t="shared" si="11"/>
        <v>959769</v>
      </c>
      <c r="Q20" s="64">
        <f>G20+J20+M20</f>
        <v>0</v>
      </c>
      <c r="R20" s="64">
        <f t="shared" si="12"/>
        <v>959769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400000</v>
      </c>
      <c r="G24" s="66">
        <f>SUM(G25:G32)</f>
        <v>0</v>
      </c>
      <c r="H24" s="67">
        <f>SUM(H25:H32)</f>
        <v>400000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311824</v>
      </c>
      <c r="M24" s="66">
        <f t="shared" ref="M24:N24" si="15">SUM(M25:M32)</f>
        <v>0</v>
      </c>
      <c r="N24" s="67">
        <f t="shared" si="15"/>
        <v>311824</v>
      </c>
      <c r="O24" s="48"/>
      <c r="P24" s="101">
        <f>SUM(P25:P32)</f>
        <v>711824</v>
      </c>
      <c r="Q24" s="101">
        <f t="shared" ref="Q24:R24" si="16">SUM(Q25:Q32)</f>
        <v>0</v>
      </c>
      <c r="R24" s="67">
        <f t="shared" si="16"/>
        <v>711824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266667</v>
      </c>
      <c r="G25" s="58"/>
      <c r="H25" s="59">
        <f>F25-G25</f>
        <v>266667</v>
      </c>
      <c r="I25" s="60"/>
      <c r="J25" s="61"/>
      <c r="K25" s="62">
        <f>I25-J25</f>
        <v>0</v>
      </c>
      <c r="L25" s="63">
        <v>161824</v>
      </c>
      <c r="M25" s="61"/>
      <c r="N25" s="62">
        <f>L25-M25</f>
        <v>161824</v>
      </c>
      <c r="O25" s="37"/>
      <c r="P25" s="64">
        <f t="shared" ref="P25:Q43" si="17">F25+I25+L25</f>
        <v>428491</v>
      </c>
      <c r="Q25" s="64">
        <f>G25+J25+M25</f>
        <v>0</v>
      </c>
      <c r="R25" s="64">
        <f>P25-Q25</f>
        <v>428491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133333</v>
      </c>
      <c r="G26" s="58"/>
      <c r="H26" s="59">
        <f>F26-G26</f>
        <v>133333</v>
      </c>
      <c r="I26" s="60"/>
      <c r="J26" s="61"/>
      <c r="K26" s="62">
        <f>I26-J26</f>
        <v>0</v>
      </c>
      <c r="L26" s="63">
        <v>150000</v>
      </c>
      <c r="M26" s="61"/>
      <c r="N26" s="62">
        <f>L26-M26</f>
        <v>150000</v>
      </c>
      <c r="O26" s="37"/>
      <c r="P26" s="64">
        <f t="shared" si="17"/>
        <v>283333</v>
      </c>
      <c r="Q26" s="64">
        <f>G26+J26+M26</f>
        <v>0</v>
      </c>
      <c r="R26" s="64">
        <f>P26-Q26</f>
        <v>283333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1090414</v>
      </c>
      <c r="J33" s="66">
        <f>SUM(J34:J43)</f>
        <v>0</v>
      </c>
      <c r="K33" s="67">
        <f>SUM(K34:K43)</f>
        <v>1090414</v>
      </c>
      <c r="L33" s="66"/>
      <c r="M33" s="66"/>
      <c r="N33" s="67"/>
      <c r="O33" s="48"/>
      <c r="P33" s="101">
        <f>SUM(P34:P43)</f>
        <v>1090414</v>
      </c>
      <c r="Q33" s="101">
        <f>SUM(Q34:Q43)</f>
        <v>0</v>
      </c>
      <c r="R33" s="67">
        <f>SUM(R34:R43)</f>
        <v>1090414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187875</v>
      </c>
      <c r="J34" s="58"/>
      <c r="K34" s="59">
        <f t="shared" ref="K34:K43" si="23">I34-J34</f>
        <v>187875</v>
      </c>
      <c r="L34" s="199"/>
      <c r="M34" s="189"/>
      <c r="N34" s="190"/>
      <c r="O34" s="37"/>
      <c r="P34" s="59">
        <f t="shared" si="17"/>
        <v>187875</v>
      </c>
      <c r="Q34" s="59">
        <f t="shared" si="17"/>
        <v>0</v>
      </c>
      <c r="R34" s="59">
        <f t="shared" ref="R34:R43" si="24">P34-Q34</f>
        <v>187875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229699</v>
      </c>
      <c r="J35" s="58"/>
      <c r="K35" s="59">
        <f t="shared" si="23"/>
        <v>229699</v>
      </c>
      <c r="L35" s="200"/>
      <c r="M35" s="192"/>
      <c r="N35" s="193"/>
      <c r="O35" s="37"/>
      <c r="P35" s="59">
        <f t="shared" si="17"/>
        <v>229699</v>
      </c>
      <c r="Q35" s="59">
        <f t="shared" si="17"/>
        <v>0</v>
      </c>
      <c r="R35" s="59">
        <f t="shared" si="24"/>
        <v>229699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452231</v>
      </c>
      <c r="J36" s="58"/>
      <c r="K36" s="59">
        <f t="shared" si="23"/>
        <v>452231</v>
      </c>
      <c r="L36" s="200"/>
      <c r="M36" s="192"/>
      <c r="N36" s="193"/>
      <c r="O36" s="37"/>
      <c r="P36" s="59">
        <f t="shared" si="17"/>
        <v>452231</v>
      </c>
      <c r="Q36" s="59">
        <f t="shared" si="17"/>
        <v>0</v>
      </c>
      <c r="R36" s="59">
        <f t="shared" si="24"/>
        <v>452231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178109</v>
      </c>
      <c r="J37" s="58"/>
      <c r="K37" s="59">
        <f t="shared" si="23"/>
        <v>178109</v>
      </c>
      <c r="L37" s="200"/>
      <c r="M37" s="192"/>
      <c r="N37" s="193"/>
      <c r="O37" s="37"/>
      <c r="P37" s="59">
        <f t="shared" si="17"/>
        <v>178109</v>
      </c>
      <c r="Q37" s="59">
        <f t="shared" si="17"/>
        <v>0</v>
      </c>
      <c r="R37" s="59">
        <f t="shared" si="24"/>
        <v>178109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42500</v>
      </c>
      <c r="J38" s="58"/>
      <c r="K38" s="59">
        <f t="shared" si="23"/>
        <v>42500</v>
      </c>
      <c r="L38" s="200"/>
      <c r="M38" s="192"/>
      <c r="N38" s="193"/>
      <c r="O38" s="37"/>
      <c r="P38" s="59">
        <f t="shared" si="17"/>
        <v>42500</v>
      </c>
      <c r="Q38" s="59">
        <f t="shared" si="17"/>
        <v>0</v>
      </c>
      <c r="R38" s="59">
        <f t="shared" si="24"/>
        <v>42500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3"/>
        <v>0</v>
      </c>
      <c r="L39" s="200"/>
      <c r="M39" s="192"/>
      <c r="N39" s="193"/>
      <c r="O39" s="37"/>
      <c r="P39" s="59">
        <f t="shared" si="17"/>
        <v>0</v>
      </c>
      <c r="Q39" s="59">
        <f t="shared" si="17"/>
        <v>0</v>
      </c>
      <c r="R39" s="59">
        <f t="shared" si="24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1090383</v>
      </c>
      <c r="G44" s="106">
        <f t="shared" si="25"/>
        <v>0</v>
      </c>
      <c r="H44" s="106">
        <f t="shared" si="25"/>
        <v>1090383</v>
      </c>
      <c r="I44" s="105">
        <f t="shared" si="25"/>
        <v>1211571</v>
      </c>
      <c r="J44" s="105">
        <f t="shared" si="25"/>
        <v>0</v>
      </c>
      <c r="K44" s="105">
        <f t="shared" si="25"/>
        <v>1211571</v>
      </c>
      <c r="L44" s="105">
        <f t="shared" si="25"/>
        <v>1190713</v>
      </c>
      <c r="M44" s="105">
        <f t="shared" si="25"/>
        <v>0</v>
      </c>
      <c r="N44" s="105">
        <f t="shared" si="25"/>
        <v>1190713</v>
      </c>
      <c r="O44" s="37"/>
      <c r="P44" s="105">
        <f t="shared" ref="P44:R44" si="26">P14+P17+P24+P33</f>
        <v>3492667</v>
      </c>
      <c r="Q44" s="105">
        <f t="shared" si="26"/>
        <v>0</v>
      </c>
      <c r="R44" s="105">
        <f t="shared" si="26"/>
        <v>3492667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205" t="s">
        <v>111</v>
      </c>
      <c r="B54" s="205"/>
      <c r="C54" s="205"/>
      <c r="D54" s="205"/>
      <c r="E54" s="205"/>
      <c r="F54" s="205"/>
    </row>
    <row r="55" spans="1:15" x14ac:dyDescent="0.25">
      <c r="A55" s="205" t="s">
        <v>112</v>
      </c>
      <c r="B55" s="205"/>
      <c r="C55" s="205"/>
      <c r="D55" s="205"/>
      <c r="E55" s="205"/>
      <c r="F55" s="205"/>
    </row>
    <row r="56" spans="1:15" x14ac:dyDescent="0.25">
      <c r="A56" s="205" t="s">
        <v>113</v>
      </c>
      <c r="B56" s="205"/>
      <c r="C56" s="205"/>
      <c r="D56" s="205"/>
      <c r="E56" s="205"/>
      <c r="F56" s="205"/>
    </row>
    <row r="57" spans="1:15" x14ac:dyDescent="0.25">
      <c r="A57" s="205" t="s">
        <v>114</v>
      </c>
      <c r="B57" s="205"/>
      <c r="C57" s="205"/>
      <c r="D57" s="205"/>
      <c r="E57" s="205"/>
      <c r="F57" s="205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203" t="s">
        <v>115</v>
      </c>
      <c r="B60" s="203"/>
      <c r="C60" s="203"/>
      <c r="D60" s="203"/>
      <c r="E60" s="203"/>
      <c r="F60" s="203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47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  <c r="L4" s="1" t="s">
        <v>60</v>
      </c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v>1138767</v>
      </c>
      <c r="G10" s="22">
        <f>G44</f>
        <v>0</v>
      </c>
      <c r="H10" s="23">
        <f>F10-G10</f>
        <v>1138767</v>
      </c>
      <c r="I10" s="22">
        <v>1172888</v>
      </c>
      <c r="J10" s="22">
        <f>J44</f>
        <v>0</v>
      </c>
      <c r="K10" s="23">
        <f>I10-J10</f>
        <v>1172888</v>
      </c>
      <c r="L10" s="22">
        <v>1185959</v>
      </c>
      <c r="M10" s="22">
        <f>M44</f>
        <v>0</v>
      </c>
      <c r="N10" s="23">
        <f>L10-M10</f>
        <v>1185959</v>
      </c>
      <c r="O10" s="24"/>
      <c r="P10" s="22">
        <f>F10+I10+L10</f>
        <v>3497614</v>
      </c>
      <c r="Q10" s="22">
        <f>Q41</f>
        <v>0</v>
      </c>
      <c r="R10" s="23">
        <f>P10-Q10</f>
        <v>3497614</v>
      </c>
    </row>
    <row r="11" spans="1:41" ht="15.75" thickTop="1" x14ac:dyDescent="0.25"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113876</v>
      </c>
      <c r="G14" s="32">
        <f>SUM(G15:G16)</f>
        <v>0</v>
      </c>
      <c r="H14" s="33">
        <f>SUM(H15:H16)</f>
        <v>113876</v>
      </c>
      <c r="I14" s="32">
        <f>SUM(I15:I16)</f>
        <v>117288</v>
      </c>
      <c r="J14" s="32">
        <f t="shared" ref="J14:K14" si="0">SUM(J15:J16)</f>
        <v>0</v>
      </c>
      <c r="K14" s="33">
        <f t="shared" si="0"/>
        <v>117288</v>
      </c>
      <c r="L14" s="32">
        <f>SUM(L15:L16)</f>
        <v>118595</v>
      </c>
      <c r="M14" s="32">
        <f t="shared" ref="M14:N14" si="1">SUM(M15:M16)</f>
        <v>0</v>
      </c>
      <c r="N14" s="33">
        <f t="shared" si="1"/>
        <v>118595</v>
      </c>
      <c r="O14" s="34"/>
      <c r="P14" s="99">
        <f>SUM(P15:P16)</f>
        <v>349759</v>
      </c>
      <c r="Q14" s="99">
        <f t="shared" ref="Q14:R14" si="2">SUM(Q15:Q16)</f>
        <v>0</v>
      </c>
      <c r="R14" s="33">
        <f t="shared" si="2"/>
        <v>349759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31885</v>
      </c>
      <c r="G15" s="58"/>
      <c r="H15" s="59">
        <f>F15-G15</f>
        <v>31885</v>
      </c>
      <c r="I15" s="60">
        <v>32841</v>
      </c>
      <c r="J15" s="61"/>
      <c r="K15" s="62">
        <f>I15-J15</f>
        <v>32841</v>
      </c>
      <c r="L15" s="63">
        <v>33207</v>
      </c>
      <c r="M15" s="61"/>
      <c r="N15" s="62">
        <f>L15-M15</f>
        <v>33207</v>
      </c>
      <c r="O15" s="37"/>
      <c r="P15" s="64">
        <f t="shared" ref="P15:P16" si="3">F15+I15+L15</f>
        <v>97933</v>
      </c>
      <c r="Q15" s="64">
        <f>G15+J15+M15</f>
        <v>0</v>
      </c>
      <c r="R15" s="64">
        <f>P15-Q15</f>
        <v>97933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81991</v>
      </c>
      <c r="G16" s="58"/>
      <c r="H16" s="59">
        <f>F16-G16</f>
        <v>81991</v>
      </c>
      <c r="I16" s="60">
        <v>84447</v>
      </c>
      <c r="J16" s="61"/>
      <c r="K16" s="62">
        <f>I16-J16</f>
        <v>84447</v>
      </c>
      <c r="L16" s="63">
        <v>85388</v>
      </c>
      <c r="M16" s="61"/>
      <c r="N16" s="62">
        <f>L16-M16</f>
        <v>85388</v>
      </c>
      <c r="O16" s="37"/>
      <c r="P16" s="64">
        <f t="shared" si="3"/>
        <v>251826</v>
      </c>
      <c r="Q16" s="64">
        <f>G16+J16+M16</f>
        <v>0</v>
      </c>
      <c r="R16" s="64">
        <f>P16-Q16</f>
        <v>251826</v>
      </c>
      <c r="U16" s="1" t="s">
        <v>126</v>
      </c>
      <c r="V16" s="153">
        <f>F17+F24+L17+L24</f>
        <v>2092255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724891</v>
      </c>
      <c r="G17" s="66">
        <f>SUM(G18:G23)</f>
        <v>0</v>
      </c>
      <c r="H17" s="67">
        <f t="shared" ref="H17" si="4">SUM(H18:H23)</f>
        <v>724891</v>
      </c>
      <c r="I17" s="66"/>
      <c r="J17" s="66"/>
      <c r="K17" s="67"/>
      <c r="L17" s="66">
        <f>SUM(L18:L23)</f>
        <v>739775</v>
      </c>
      <c r="M17" s="66">
        <f>SUM(M18:M23)</f>
        <v>0</v>
      </c>
      <c r="N17" s="67">
        <f t="shared" ref="N17" si="5">SUM(N18:N23)</f>
        <v>739775</v>
      </c>
      <c r="O17" s="48"/>
      <c r="P17" s="101">
        <f>SUM(P18:P23)</f>
        <v>1464666</v>
      </c>
      <c r="Q17" s="101">
        <f t="shared" ref="Q17:R17" si="6">SUM(Q18:Q23)</f>
        <v>0</v>
      </c>
      <c r="R17" s="67">
        <f t="shared" si="6"/>
        <v>1464666</v>
      </c>
      <c r="U17" s="1" t="s">
        <v>127</v>
      </c>
      <c r="V17" s="153">
        <f>F24+L24</f>
        <v>627589</v>
      </c>
      <c r="W17" s="1">
        <f>V17/V16</f>
        <v>0.29995817909384848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477618</v>
      </c>
      <c r="G18" s="58"/>
      <c r="H18" s="59">
        <f t="shared" ref="H18:H23" si="7">F18-G18</f>
        <v>477618</v>
      </c>
      <c r="I18" s="60"/>
      <c r="J18" s="61"/>
      <c r="K18" s="62">
        <f t="shared" ref="K18:K23" si="8">I18-J18</f>
        <v>0</v>
      </c>
      <c r="L18" s="63">
        <v>478093</v>
      </c>
      <c r="M18" s="61"/>
      <c r="N18" s="62">
        <f t="shared" ref="N18:N23" si="9">L18-M18</f>
        <v>478093</v>
      </c>
      <c r="O18" s="37"/>
      <c r="P18" s="64">
        <f t="shared" ref="P18:P23" si="10">F18+I18+L18</f>
        <v>955711</v>
      </c>
      <c r="Q18" s="64">
        <f>G18+J18+M18</f>
        <v>0</v>
      </c>
      <c r="R18" s="64">
        <f t="shared" ref="R18:R23" si="11">P18-Q18</f>
        <v>955711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195827</v>
      </c>
      <c r="G19" s="58"/>
      <c r="H19" s="59">
        <f t="shared" si="7"/>
        <v>195827</v>
      </c>
      <c r="I19" s="60"/>
      <c r="J19" s="61"/>
      <c r="K19" s="62">
        <f t="shared" si="8"/>
        <v>0</v>
      </c>
      <c r="L19" s="63">
        <v>211405</v>
      </c>
      <c r="M19" s="61"/>
      <c r="N19" s="62">
        <f t="shared" si="9"/>
        <v>211405</v>
      </c>
      <c r="O19" s="37"/>
      <c r="P19" s="64">
        <f t="shared" si="10"/>
        <v>407232</v>
      </c>
      <c r="Q19" s="64">
        <f>G19+J19+M19</f>
        <v>0</v>
      </c>
      <c r="R19" s="64">
        <f t="shared" si="11"/>
        <v>407232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49446</v>
      </c>
      <c r="G20" s="58"/>
      <c r="H20" s="59">
        <f t="shared" si="7"/>
        <v>49446</v>
      </c>
      <c r="I20" s="60"/>
      <c r="J20" s="61"/>
      <c r="K20" s="62">
        <f t="shared" si="8"/>
        <v>0</v>
      </c>
      <c r="L20" s="63">
        <v>48777</v>
      </c>
      <c r="M20" s="61"/>
      <c r="N20" s="62">
        <f t="shared" si="9"/>
        <v>48777</v>
      </c>
      <c r="O20" s="37"/>
      <c r="P20" s="64">
        <f t="shared" si="10"/>
        <v>98223</v>
      </c>
      <c r="Q20" s="64">
        <f>G20+J20+M20</f>
        <v>0</v>
      </c>
      <c r="R20" s="64">
        <f t="shared" si="11"/>
        <v>98223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58"/>
      <c r="H21" s="69">
        <f t="shared" si="7"/>
        <v>0</v>
      </c>
      <c r="I21" s="60"/>
      <c r="J21" s="70"/>
      <c r="K21" s="71">
        <f t="shared" si="8"/>
        <v>0</v>
      </c>
      <c r="L21" s="72"/>
      <c r="M21" s="70"/>
      <c r="N21" s="62">
        <f t="shared" si="9"/>
        <v>0</v>
      </c>
      <c r="O21" s="37"/>
      <c r="P21" s="64">
        <f t="shared" si="10"/>
        <v>0</v>
      </c>
      <c r="Q21" s="64">
        <f t="shared" ref="Q21:Q22" si="12">G21+J21+M21</f>
        <v>0</v>
      </c>
      <c r="R21" s="64">
        <f t="shared" si="11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7"/>
        <v>0</v>
      </c>
      <c r="I22" s="60"/>
      <c r="J22" s="70"/>
      <c r="K22" s="71">
        <f t="shared" si="8"/>
        <v>0</v>
      </c>
      <c r="L22" s="72"/>
      <c r="M22" s="70"/>
      <c r="N22" s="71">
        <f t="shared" si="9"/>
        <v>0</v>
      </c>
      <c r="O22" s="37"/>
      <c r="P22" s="73">
        <f t="shared" si="10"/>
        <v>0</v>
      </c>
      <c r="Q22" s="64">
        <f t="shared" si="12"/>
        <v>0</v>
      </c>
      <c r="R22" s="73">
        <f t="shared" si="11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2000</v>
      </c>
      <c r="G23" s="74"/>
      <c r="H23" s="75">
        <f t="shared" si="7"/>
        <v>2000</v>
      </c>
      <c r="I23" s="76"/>
      <c r="J23" s="77"/>
      <c r="K23" s="78">
        <f t="shared" si="8"/>
        <v>0</v>
      </c>
      <c r="L23" s="79">
        <v>1500</v>
      </c>
      <c r="M23" s="77"/>
      <c r="N23" s="78">
        <f t="shared" si="9"/>
        <v>1500</v>
      </c>
      <c r="O23" s="37"/>
      <c r="P23" s="64">
        <f t="shared" si="10"/>
        <v>3500</v>
      </c>
      <c r="Q23" s="64">
        <f>G23+J23+M23</f>
        <v>0</v>
      </c>
      <c r="R23" s="64">
        <f t="shared" si="11"/>
        <v>3500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300000</v>
      </c>
      <c r="G24" s="66">
        <f>SUM(G25:G32)</f>
        <v>0</v>
      </c>
      <c r="H24" s="67">
        <f>SUM(H25:H32)</f>
        <v>300000</v>
      </c>
      <c r="I24" s="66">
        <f>SUM(I25:I32)</f>
        <v>0</v>
      </c>
      <c r="J24" s="66">
        <f t="shared" ref="J24:K24" si="13">SUM(J25:J32)</f>
        <v>0</v>
      </c>
      <c r="K24" s="67">
        <f t="shared" si="13"/>
        <v>0</v>
      </c>
      <c r="L24" s="66">
        <f>SUM(L25:L32)</f>
        <v>327589</v>
      </c>
      <c r="M24" s="66">
        <f t="shared" ref="M24:N24" si="14">SUM(M25:M32)</f>
        <v>0</v>
      </c>
      <c r="N24" s="67">
        <f t="shared" si="14"/>
        <v>327589</v>
      </c>
      <c r="O24" s="48"/>
      <c r="P24" s="101">
        <f>SUM(P25:P32)</f>
        <v>627589</v>
      </c>
      <c r="Q24" s="101">
        <f t="shared" ref="Q24:R24" si="15">SUM(Q25:Q32)</f>
        <v>0</v>
      </c>
      <c r="R24" s="67">
        <f t="shared" si="15"/>
        <v>627589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225000</v>
      </c>
      <c r="G25" s="58"/>
      <c r="H25" s="59">
        <f>F25-G25</f>
        <v>225000</v>
      </c>
      <c r="I25" s="60"/>
      <c r="J25" s="61"/>
      <c r="K25" s="62">
        <f>I25-J25</f>
        <v>0</v>
      </c>
      <c r="L25" s="63">
        <v>245692</v>
      </c>
      <c r="M25" s="61"/>
      <c r="N25" s="62">
        <f>L25-M25</f>
        <v>245692</v>
      </c>
      <c r="O25" s="37"/>
      <c r="P25" s="64">
        <f t="shared" ref="P25:Q43" si="16">F25+I25+L25</f>
        <v>470692</v>
      </c>
      <c r="Q25" s="64">
        <f>G25+J25+M25</f>
        <v>0</v>
      </c>
      <c r="R25" s="64">
        <f>P25-Q25</f>
        <v>470692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75000</v>
      </c>
      <c r="G26" s="58"/>
      <c r="H26" s="59">
        <f>F26-G26</f>
        <v>75000</v>
      </c>
      <c r="I26" s="60"/>
      <c r="J26" s="61"/>
      <c r="K26" s="62">
        <f>I26-J26</f>
        <v>0</v>
      </c>
      <c r="L26" s="63">
        <v>81897</v>
      </c>
      <c r="M26" s="61"/>
      <c r="N26" s="62">
        <f>L26-M26</f>
        <v>81897</v>
      </c>
      <c r="O26" s="37"/>
      <c r="P26" s="64">
        <f t="shared" si="16"/>
        <v>156897</v>
      </c>
      <c r="Q26" s="64">
        <f>G26+J26+M26</f>
        <v>0</v>
      </c>
      <c r="R26" s="64">
        <f>P26-Q26</f>
        <v>156897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6"/>
        <v>0</v>
      </c>
      <c r="Q27" s="64">
        <f t="shared" ref="Q27:Q31" si="17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8">L28-M28</f>
        <v>0</v>
      </c>
      <c r="O28" s="37"/>
      <c r="P28" s="64">
        <f t="shared" si="16"/>
        <v>0</v>
      </c>
      <c r="Q28" s="64">
        <f t="shared" si="17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19">F29-G29</f>
        <v>0</v>
      </c>
      <c r="I29" s="60"/>
      <c r="J29" s="61"/>
      <c r="K29" s="62">
        <f t="shared" ref="K29:K31" si="20">I29-J29</f>
        <v>0</v>
      </c>
      <c r="L29" s="63"/>
      <c r="M29" s="61"/>
      <c r="N29" s="62">
        <f t="shared" si="18"/>
        <v>0</v>
      </c>
      <c r="O29" s="37"/>
      <c r="P29" s="64">
        <f t="shared" si="16"/>
        <v>0</v>
      </c>
      <c r="Q29" s="64">
        <f t="shared" si="17"/>
        <v>0</v>
      </c>
      <c r="R29" s="64">
        <f t="shared" ref="R29:R31" si="21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19"/>
        <v>0</v>
      </c>
      <c r="I30" s="60"/>
      <c r="J30" s="61"/>
      <c r="K30" s="62">
        <f>I30-J30</f>
        <v>0</v>
      </c>
      <c r="L30" s="63"/>
      <c r="M30" s="61"/>
      <c r="N30" s="62">
        <f t="shared" si="18"/>
        <v>0</v>
      </c>
      <c r="O30" s="37"/>
      <c r="P30" s="64">
        <f t="shared" si="16"/>
        <v>0</v>
      </c>
      <c r="Q30" s="64">
        <f t="shared" si="17"/>
        <v>0</v>
      </c>
      <c r="R30" s="64">
        <f t="shared" si="21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19"/>
        <v>0</v>
      </c>
      <c r="I31" s="60"/>
      <c r="J31" s="61"/>
      <c r="K31" s="62">
        <f t="shared" si="20"/>
        <v>0</v>
      </c>
      <c r="L31" s="63"/>
      <c r="M31" s="61"/>
      <c r="N31" s="62">
        <f t="shared" si="18"/>
        <v>0</v>
      </c>
      <c r="O31" s="37"/>
      <c r="P31" s="64">
        <f t="shared" si="16"/>
        <v>0</v>
      </c>
      <c r="Q31" s="64">
        <f t="shared" si="17"/>
        <v>0</v>
      </c>
      <c r="R31" s="64">
        <f t="shared" si="21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6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1055600</v>
      </c>
      <c r="J33" s="66">
        <f>SUM(J34:J43)</f>
        <v>0</v>
      </c>
      <c r="K33" s="67">
        <f>SUM(K34:K43)</f>
        <v>1055600</v>
      </c>
      <c r="L33" s="66"/>
      <c r="M33" s="66"/>
      <c r="N33" s="67"/>
      <c r="O33" s="48"/>
      <c r="P33" s="101">
        <f>SUM(P34:P43)</f>
        <v>1055600</v>
      </c>
      <c r="Q33" s="101">
        <f>SUM(Q34:Q43)</f>
        <v>0</v>
      </c>
      <c r="R33" s="67">
        <f>SUM(R34:R43)</f>
        <v>1055600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144994</v>
      </c>
      <c r="J34" s="58"/>
      <c r="K34" s="59">
        <f t="shared" ref="K34:K43" si="22">I34-J34</f>
        <v>144994</v>
      </c>
      <c r="L34" s="199"/>
      <c r="M34" s="189"/>
      <c r="N34" s="190"/>
      <c r="O34" s="37"/>
      <c r="P34" s="59">
        <f t="shared" si="16"/>
        <v>144994</v>
      </c>
      <c r="Q34" s="59">
        <f t="shared" si="16"/>
        <v>0</v>
      </c>
      <c r="R34" s="59">
        <f t="shared" ref="R34:R43" si="23">P34-Q34</f>
        <v>144994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37216</v>
      </c>
      <c r="J35" s="58"/>
      <c r="K35" s="59">
        <f t="shared" si="22"/>
        <v>37216</v>
      </c>
      <c r="L35" s="200"/>
      <c r="M35" s="192"/>
      <c r="N35" s="193"/>
      <c r="O35" s="37"/>
      <c r="P35" s="59">
        <f t="shared" si="16"/>
        <v>37216</v>
      </c>
      <c r="Q35" s="59">
        <f t="shared" si="16"/>
        <v>0</v>
      </c>
      <c r="R35" s="59">
        <f t="shared" si="23"/>
        <v>37216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69605</v>
      </c>
      <c r="J36" s="58"/>
      <c r="K36" s="59">
        <f t="shared" si="22"/>
        <v>69605</v>
      </c>
      <c r="L36" s="200"/>
      <c r="M36" s="192"/>
      <c r="N36" s="193"/>
      <c r="O36" s="37"/>
      <c r="P36" s="59">
        <f t="shared" si="16"/>
        <v>69605</v>
      </c>
      <c r="Q36" s="59">
        <f t="shared" si="16"/>
        <v>0</v>
      </c>
      <c r="R36" s="59">
        <f t="shared" si="23"/>
        <v>69605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738998</v>
      </c>
      <c r="J37" s="58"/>
      <c r="K37" s="59">
        <f t="shared" si="22"/>
        <v>738998</v>
      </c>
      <c r="L37" s="200"/>
      <c r="M37" s="192"/>
      <c r="N37" s="193"/>
      <c r="O37" s="37"/>
      <c r="P37" s="59">
        <f t="shared" si="16"/>
        <v>738998</v>
      </c>
      <c r="Q37" s="59">
        <f t="shared" si="16"/>
        <v>0</v>
      </c>
      <c r="R37" s="59">
        <f t="shared" si="23"/>
        <v>738998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22250</v>
      </c>
      <c r="J38" s="58"/>
      <c r="K38" s="59">
        <f t="shared" si="22"/>
        <v>22250</v>
      </c>
      <c r="L38" s="200"/>
      <c r="M38" s="192"/>
      <c r="N38" s="193"/>
      <c r="O38" s="37"/>
      <c r="P38" s="59">
        <f t="shared" si="16"/>
        <v>22250</v>
      </c>
      <c r="Q38" s="59">
        <f t="shared" si="16"/>
        <v>0</v>
      </c>
      <c r="R38" s="59">
        <f t="shared" si="23"/>
        <v>22250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30100</v>
      </c>
      <c r="J39" s="58"/>
      <c r="K39" s="59">
        <f t="shared" si="22"/>
        <v>30100</v>
      </c>
      <c r="L39" s="200"/>
      <c r="M39" s="192"/>
      <c r="N39" s="193"/>
      <c r="O39" s="37"/>
      <c r="P39" s="59">
        <f t="shared" si="16"/>
        <v>30100</v>
      </c>
      <c r="Q39" s="59">
        <f t="shared" si="16"/>
        <v>0</v>
      </c>
      <c r="R39" s="59">
        <f t="shared" si="23"/>
        <v>30100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9551</v>
      </c>
      <c r="J40" s="58"/>
      <c r="K40" s="59">
        <f t="shared" si="22"/>
        <v>9551</v>
      </c>
      <c r="L40" s="200"/>
      <c r="M40" s="192"/>
      <c r="N40" s="193"/>
      <c r="O40" s="37"/>
      <c r="P40" s="59">
        <f t="shared" si="16"/>
        <v>9551</v>
      </c>
      <c r="Q40" s="59">
        <f t="shared" si="16"/>
        <v>0</v>
      </c>
      <c r="R40" s="59">
        <f t="shared" si="23"/>
        <v>9551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2886</v>
      </c>
      <c r="J41" s="58"/>
      <c r="K41" s="59">
        <f t="shared" si="22"/>
        <v>2886</v>
      </c>
      <c r="L41" s="200"/>
      <c r="M41" s="192"/>
      <c r="N41" s="193"/>
      <c r="O41" s="37"/>
      <c r="P41" s="59">
        <f t="shared" si="16"/>
        <v>2886</v>
      </c>
      <c r="Q41" s="59">
        <f t="shared" si="16"/>
        <v>0</v>
      </c>
      <c r="R41" s="59">
        <f t="shared" si="23"/>
        <v>2886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2"/>
        <v>0</v>
      </c>
      <c r="L42" s="200"/>
      <c r="M42" s="192"/>
      <c r="N42" s="193"/>
      <c r="O42" s="37"/>
      <c r="P42" s="59">
        <f t="shared" si="16"/>
        <v>0</v>
      </c>
      <c r="Q42" s="59">
        <f t="shared" si="16"/>
        <v>0</v>
      </c>
      <c r="R42" s="59">
        <f t="shared" si="23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2"/>
        <v>0</v>
      </c>
      <c r="L43" s="201"/>
      <c r="M43" s="195"/>
      <c r="N43" s="196"/>
      <c r="O43" s="37"/>
      <c r="P43" s="95">
        <f t="shared" si="16"/>
        <v>0</v>
      </c>
      <c r="Q43" s="95">
        <f t="shared" si="16"/>
        <v>0</v>
      </c>
      <c r="R43" s="95">
        <f t="shared" si="23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4">F14+F17+F24+F33</f>
        <v>1138767</v>
      </c>
      <c r="G44" s="106">
        <f t="shared" si="24"/>
        <v>0</v>
      </c>
      <c r="H44" s="106">
        <f t="shared" si="24"/>
        <v>1138767</v>
      </c>
      <c r="I44" s="105">
        <f t="shared" si="24"/>
        <v>1172888</v>
      </c>
      <c r="J44" s="105">
        <f t="shared" si="24"/>
        <v>0</v>
      </c>
      <c r="K44" s="105">
        <f t="shared" si="24"/>
        <v>1172888</v>
      </c>
      <c r="L44" s="105">
        <f t="shared" si="24"/>
        <v>1185959</v>
      </c>
      <c r="M44" s="105">
        <f t="shared" si="24"/>
        <v>0</v>
      </c>
      <c r="N44" s="105">
        <f t="shared" si="24"/>
        <v>1185959</v>
      </c>
      <c r="O44" s="37"/>
      <c r="P44" s="105">
        <f t="shared" ref="P44:R44" si="25">P14+P17+P24+P33</f>
        <v>3497614</v>
      </c>
      <c r="Q44" s="105">
        <f t="shared" si="25"/>
        <v>0</v>
      </c>
      <c r="R44" s="105">
        <f t="shared" si="25"/>
        <v>3497614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/>
      </c>
      <c r="M45" s="37"/>
      <c r="N45" s="37"/>
      <c r="O45" s="37"/>
      <c r="P45" s="37" t="str">
        <f>IF(P44&lt;&gt;P10,"Calculation Error","")</f>
        <v/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48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86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866727-17687.87+10843.3</f>
        <v>859882.43</v>
      </c>
      <c r="G10" s="22">
        <f>G44</f>
        <v>0</v>
      </c>
      <c r="H10" s="23">
        <f>F10-G10</f>
        <v>859882.43</v>
      </c>
      <c r="I10" s="22">
        <v>938734</v>
      </c>
      <c r="J10" s="22">
        <f>J44</f>
        <v>0</v>
      </c>
      <c r="K10" s="23">
        <f>I10-J10</f>
        <v>938734</v>
      </c>
      <c r="L10" s="22">
        <f>895565-5494+4468.04</f>
        <v>894539.04</v>
      </c>
      <c r="M10" s="22">
        <f>M44</f>
        <v>0</v>
      </c>
      <c r="N10" s="23">
        <f>L10-M10</f>
        <v>894539.04</v>
      </c>
      <c r="O10" s="24"/>
      <c r="P10" s="22">
        <f>F10+I10+L10</f>
        <v>2693155.47</v>
      </c>
      <c r="Q10" s="22">
        <f>Q41</f>
        <v>0</v>
      </c>
      <c r="R10" s="23">
        <f>P10-Q10</f>
        <v>2693155.47</v>
      </c>
    </row>
    <row r="11" spans="1:41" ht="15.75" thickTop="1" x14ac:dyDescent="0.25"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78231</v>
      </c>
      <c r="G14" s="32">
        <f>SUM(G15:G16)</f>
        <v>0</v>
      </c>
      <c r="H14" s="33">
        <f>SUM(H15:H16)</f>
        <v>78231</v>
      </c>
      <c r="I14" s="32">
        <f>SUM(I15:I16)</f>
        <v>14998</v>
      </c>
      <c r="J14" s="32">
        <f t="shared" ref="J14:K14" si="0">SUM(J15:J16)</f>
        <v>0</v>
      </c>
      <c r="K14" s="33">
        <f t="shared" si="0"/>
        <v>14998</v>
      </c>
      <c r="L14" s="32">
        <f>SUM(L15:L16)</f>
        <v>80434</v>
      </c>
      <c r="M14" s="32">
        <f t="shared" ref="M14:N14" si="1">SUM(M15:M16)</f>
        <v>0</v>
      </c>
      <c r="N14" s="33">
        <f t="shared" si="1"/>
        <v>80434</v>
      </c>
      <c r="O14" s="34"/>
      <c r="P14" s="99">
        <f>SUM(P15:P16)</f>
        <v>173663</v>
      </c>
      <c r="Q14" s="99">
        <f t="shared" ref="Q14:R14" si="2">SUM(Q15:Q16)</f>
        <v>0</v>
      </c>
      <c r="R14" s="33">
        <f t="shared" si="2"/>
        <v>173663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49489</v>
      </c>
      <c r="G15" s="58"/>
      <c r="H15" s="59">
        <f>F15-G15</f>
        <v>49489</v>
      </c>
      <c r="I15" s="60">
        <v>9385</v>
      </c>
      <c r="J15" s="61"/>
      <c r="K15" s="62">
        <f>I15-J15</f>
        <v>9385</v>
      </c>
      <c r="L15" s="63">
        <v>53406</v>
      </c>
      <c r="M15" s="61"/>
      <c r="N15" s="62">
        <f>L15-M15</f>
        <v>53406</v>
      </c>
      <c r="O15" s="37"/>
      <c r="P15" s="64">
        <f t="shared" ref="P15:P16" si="3">F15+I15+L15</f>
        <v>112280</v>
      </c>
      <c r="Q15" s="64">
        <f>G15+J15+M15</f>
        <v>0</v>
      </c>
      <c r="R15" s="64">
        <f>P15-Q15</f>
        <v>112280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28742</v>
      </c>
      <c r="G16" s="58"/>
      <c r="H16" s="59">
        <f>F16-G16</f>
        <v>28742</v>
      </c>
      <c r="I16" s="60">
        <v>5613</v>
      </c>
      <c r="J16" s="61"/>
      <c r="K16" s="62">
        <f>I16-J16</f>
        <v>5613</v>
      </c>
      <c r="L16" s="63">
        <v>27028</v>
      </c>
      <c r="M16" s="61"/>
      <c r="N16" s="62">
        <f>L16-M16</f>
        <v>27028</v>
      </c>
      <c r="O16" s="37"/>
      <c r="P16" s="64">
        <f t="shared" si="3"/>
        <v>61383</v>
      </c>
      <c r="Q16" s="64">
        <f>G16+J16+M16</f>
        <v>0</v>
      </c>
      <c r="R16" s="64">
        <f>P16-Q16</f>
        <v>61383</v>
      </c>
      <c r="U16" s="1" t="s">
        <v>126</v>
      </c>
      <c r="V16" s="153">
        <f>F17+F24+L17+L24</f>
        <v>1580446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671461</v>
      </c>
      <c r="G17" s="66">
        <f>SUM(G18:G23)</f>
        <v>0</v>
      </c>
      <c r="H17" s="67">
        <f t="shared" ref="H17" si="4">SUM(H18:H23)</f>
        <v>671461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670468</v>
      </c>
      <c r="M17" s="66">
        <f>SUM(M18:M23)</f>
        <v>0</v>
      </c>
      <c r="N17" s="67">
        <f t="shared" ref="N17" si="6">SUM(N18:N23)</f>
        <v>670468</v>
      </c>
      <c r="O17" s="48"/>
      <c r="P17" s="101">
        <f>SUM(P18:P23)</f>
        <v>1341929</v>
      </c>
      <c r="Q17" s="101">
        <f t="shared" ref="Q17:R17" si="7">SUM(Q18:Q23)</f>
        <v>0</v>
      </c>
      <c r="R17" s="67">
        <f t="shared" si="7"/>
        <v>1341929</v>
      </c>
      <c r="U17" s="1" t="s">
        <v>127</v>
      </c>
      <c r="V17" s="153">
        <f>F24+L24</f>
        <v>238517</v>
      </c>
      <c r="W17" s="1">
        <f>V17/V16</f>
        <v>0.15091752581233397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633136</v>
      </c>
      <c r="G18" s="58"/>
      <c r="H18" s="59">
        <f t="shared" ref="H18:H23" si="8">F18-G18</f>
        <v>633136</v>
      </c>
      <c r="I18" s="60"/>
      <c r="J18" s="61"/>
      <c r="K18" s="62">
        <f t="shared" ref="K18:K23" si="9">I18-J18</f>
        <v>0</v>
      </c>
      <c r="L18" s="63">
        <v>632143</v>
      </c>
      <c r="M18" s="61"/>
      <c r="N18" s="62">
        <f t="shared" ref="N18:N23" si="10">L18-M18</f>
        <v>632143</v>
      </c>
      <c r="O18" s="37"/>
      <c r="P18" s="64">
        <f t="shared" ref="P18:P23" si="11">F18+I18+L18</f>
        <v>1265279</v>
      </c>
      <c r="Q18" s="64">
        <f>G18+J18+M18</f>
        <v>0</v>
      </c>
      <c r="R18" s="64">
        <f t="shared" ref="R18:R23" si="12">P18-Q18</f>
        <v>1265279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38325</v>
      </c>
      <c r="G19" s="58"/>
      <c r="H19" s="59">
        <f t="shared" si="8"/>
        <v>38325</v>
      </c>
      <c r="I19" s="60"/>
      <c r="J19" s="61"/>
      <c r="K19" s="62">
        <f t="shared" si="9"/>
        <v>0</v>
      </c>
      <c r="L19" s="139">
        <v>38325</v>
      </c>
      <c r="M19" s="61"/>
      <c r="N19" s="62">
        <f t="shared" si="10"/>
        <v>38325</v>
      </c>
      <c r="O19" s="37"/>
      <c r="P19" s="64">
        <f t="shared" si="11"/>
        <v>76650</v>
      </c>
      <c r="Q19" s="64">
        <f>G19+J19+M19</f>
        <v>0</v>
      </c>
      <c r="R19" s="64">
        <f t="shared" si="12"/>
        <v>76650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99348</v>
      </c>
      <c r="G24" s="66">
        <f>SUM(G25:G32)</f>
        <v>0</v>
      </c>
      <c r="H24" s="67">
        <f>SUM(H25:H32)</f>
        <v>99348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139169</v>
      </c>
      <c r="M24" s="66">
        <f t="shared" ref="M24:N24" si="15">SUM(M25:M32)</f>
        <v>0</v>
      </c>
      <c r="N24" s="67">
        <f t="shared" si="15"/>
        <v>139169</v>
      </c>
      <c r="O24" s="48"/>
      <c r="P24" s="101">
        <f>SUM(P25:P32)</f>
        <v>238517</v>
      </c>
      <c r="Q24" s="101">
        <f t="shared" ref="Q24:R24" si="16">SUM(Q25:Q32)</f>
        <v>0</v>
      </c>
      <c r="R24" s="67">
        <f t="shared" si="16"/>
        <v>238517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79348</v>
      </c>
      <c r="G25" s="58"/>
      <c r="H25" s="59">
        <f>F25-G25</f>
        <v>79348</v>
      </c>
      <c r="I25" s="60"/>
      <c r="J25" s="61"/>
      <c r="K25" s="62">
        <f>I25-J25</f>
        <v>0</v>
      </c>
      <c r="L25" s="63">
        <v>94914</v>
      </c>
      <c r="M25" s="61"/>
      <c r="N25" s="62">
        <f>L25-M25</f>
        <v>94914</v>
      </c>
      <c r="O25" s="37"/>
      <c r="P25" s="64">
        <f t="shared" ref="P25:Q43" si="17">F25+I25+L25</f>
        <v>174262</v>
      </c>
      <c r="Q25" s="64">
        <f>G25+J25+M25</f>
        <v>0</v>
      </c>
      <c r="R25" s="64">
        <f>P25-Q25</f>
        <v>174262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20000</v>
      </c>
      <c r="G26" s="58"/>
      <c r="H26" s="59">
        <f>F26-G26</f>
        <v>20000</v>
      </c>
      <c r="I26" s="60"/>
      <c r="J26" s="61"/>
      <c r="K26" s="62">
        <f>I26-J26</f>
        <v>0</v>
      </c>
      <c r="L26" s="139">
        <v>44255</v>
      </c>
      <c r="M26" s="61"/>
      <c r="N26" s="62">
        <f>L26-M26</f>
        <v>44255</v>
      </c>
      <c r="O26" s="37"/>
      <c r="P26" s="64">
        <f t="shared" si="17"/>
        <v>64255</v>
      </c>
      <c r="Q26" s="64">
        <f>G26+J26+M26</f>
        <v>0</v>
      </c>
      <c r="R26" s="64">
        <f>P26-Q26</f>
        <v>64255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923736</v>
      </c>
      <c r="J33" s="66">
        <f>SUM(J34:J43)</f>
        <v>0</v>
      </c>
      <c r="K33" s="67">
        <f>SUM(K34:K43)</f>
        <v>923736</v>
      </c>
      <c r="L33" s="66"/>
      <c r="M33" s="66"/>
      <c r="N33" s="67"/>
      <c r="O33" s="48"/>
      <c r="P33" s="101">
        <f>SUM(P34:P43)</f>
        <v>923736</v>
      </c>
      <c r="Q33" s="101">
        <f>SUM(Q34:Q43)</f>
        <v>0</v>
      </c>
      <c r="R33" s="67">
        <f>SUM(R34:R43)</f>
        <v>923736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79000</v>
      </c>
      <c r="J34" s="58"/>
      <c r="K34" s="59">
        <f t="shared" ref="K34:K43" si="23">I34-J34</f>
        <v>79000</v>
      </c>
      <c r="L34" s="199"/>
      <c r="M34" s="189"/>
      <c r="N34" s="190"/>
      <c r="O34" s="37"/>
      <c r="P34" s="59">
        <f t="shared" si="17"/>
        <v>79000</v>
      </c>
      <c r="Q34" s="59">
        <f t="shared" si="17"/>
        <v>0</v>
      </c>
      <c r="R34" s="59">
        <f t="shared" ref="R34:R43" si="24">P34-Q34</f>
        <v>79000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736003</v>
      </c>
      <c r="J35" s="58"/>
      <c r="K35" s="59">
        <f t="shared" si="23"/>
        <v>736003</v>
      </c>
      <c r="L35" s="200"/>
      <c r="M35" s="192"/>
      <c r="N35" s="193"/>
      <c r="O35" s="37"/>
      <c r="P35" s="59">
        <f t="shared" si="17"/>
        <v>736003</v>
      </c>
      <c r="Q35" s="59">
        <f t="shared" si="17"/>
        <v>0</v>
      </c>
      <c r="R35" s="59">
        <f t="shared" si="24"/>
        <v>736003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/>
      <c r="J36" s="58"/>
      <c r="K36" s="59">
        <f t="shared" si="23"/>
        <v>0</v>
      </c>
      <c r="L36" s="200"/>
      <c r="M36" s="192"/>
      <c r="N36" s="193"/>
      <c r="O36" s="37"/>
      <c r="P36" s="59">
        <f t="shared" si="17"/>
        <v>0</v>
      </c>
      <c r="Q36" s="59">
        <f t="shared" si="17"/>
        <v>0</v>
      </c>
      <c r="R36" s="59">
        <f t="shared" si="24"/>
        <v>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/>
      <c r="J37" s="58"/>
      <c r="K37" s="59">
        <f t="shared" si="23"/>
        <v>0</v>
      </c>
      <c r="L37" s="200"/>
      <c r="M37" s="192"/>
      <c r="N37" s="193"/>
      <c r="O37" s="37"/>
      <c r="P37" s="59">
        <f t="shared" si="17"/>
        <v>0</v>
      </c>
      <c r="Q37" s="59">
        <f t="shared" si="17"/>
        <v>0</v>
      </c>
      <c r="R37" s="59">
        <f t="shared" si="24"/>
        <v>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3"/>
        <v>0</v>
      </c>
      <c r="L39" s="200"/>
      <c r="M39" s="192"/>
      <c r="N39" s="193"/>
      <c r="O39" s="37"/>
      <c r="P39" s="59">
        <f t="shared" si="17"/>
        <v>0</v>
      </c>
      <c r="Q39" s="59">
        <f t="shared" si="17"/>
        <v>0</v>
      </c>
      <c r="R39" s="59">
        <f t="shared" si="24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108733</v>
      </c>
      <c r="J40" s="58"/>
      <c r="K40" s="59">
        <f t="shared" si="23"/>
        <v>108733</v>
      </c>
      <c r="L40" s="200"/>
      <c r="M40" s="192"/>
      <c r="N40" s="193"/>
      <c r="O40" s="37"/>
      <c r="P40" s="59">
        <f t="shared" si="17"/>
        <v>108733</v>
      </c>
      <c r="Q40" s="59">
        <f t="shared" si="17"/>
        <v>0</v>
      </c>
      <c r="R40" s="59">
        <f t="shared" si="24"/>
        <v>108733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849040</v>
      </c>
      <c r="G44" s="106">
        <f t="shared" si="25"/>
        <v>0</v>
      </c>
      <c r="H44" s="106">
        <f t="shared" si="25"/>
        <v>849040</v>
      </c>
      <c r="I44" s="105">
        <f t="shared" si="25"/>
        <v>938734</v>
      </c>
      <c r="J44" s="105">
        <f t="shared" si="25"/>
        <v>0</v>
      </c>
      <c r="K44" s="105">
        <f t="shared" si="25"/>
        <v>938734</v>
      </c>
      <c r="L44" s="105">
        <f t="shared" si="25"/>
        <v>890071</v>
      </c>
      <c r="M44" s="105">
        <f t="shared" si="25"/>
        <v>0</v>
      </c>
      <c r="N44" s="105">
        <f t="shared" si="25"/>
        <v>890071</v>
      </c>
      <c r="O44" s="37"/>
      <c r="P44" s="105">
        <f t="shared" ref="P44:R44" si="26">P14+P17+P24+P33</f>
        <v>2677845</v>
      </c>
      <c r="Q44" s="105">
        <f t="shared" si="26"/>
        <v>0</v>
      </c>
      <c r="R44" s="105">
        <f t="shared" si="26"/>
        <v>2677845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85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2"/>
      <c r="B55" s="202"/>
      <c r="C55" s="202"/>
      <c r="D55" s="202"/>
      <c r="E55" s="202"/>
      <c r="F55" s="202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42578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49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4723587+F11</f>
        <v>5390253</v>
      </c>
      <c r="G10" s="22">
        <f>G44</f>
        <v>0</v>
      </c>
      <c r="H10" s="23">
        <f>F10-G10</f>
        <v>5390253</v>
      </c>
      <c r="I10" s="22">
        <v>5113645</v>
      </c>
      <c r="J10" s="22">
        <f>J44</f>
        <v>0</v>
      </c>
      <c r="K10" s="23">
        <f>I10-J10</f>
        <v>5113645</v>
      </c>
      <c r="L10" s="22">
        <f>2847968-F11</f>
        <v>2181302</v>
      </c>
      <c r="M10" s="22">
        <f>M44</f>
        <v>0</v>
      </c>
      <c r="N10" s="23">
        <f>L10-M10</f>
        <v>2181302</v>
      </c>
      <c r="O10" s="24"/>
      <c r="P10" s="22">
        <f>F10+I10+L10</f>
        <v>12685200</v>
      </c>
      <c r="Q10" s="22">
        <f>Q41</f>
        <v>0</v>
      </c>
      <c r="R10" s="23">
        <f>P10-Q10</f>
        <v>12685200</v>
      </c>
    </row>
    <row r="11" spans="1:41" ht="15.75" thickTop="1" x14ac:dyDescent="0.25">
      <c r="E11" s="157" t="s">
        <v>133</v>
      </c>
      <c r="F11" s="159">
        <v>666666</v>
      </c>
      <c r="H11" s="6"/>
      <c r="K11" s="6"/>
      <c r="L11" s="159">
        <v>-666666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472359</v>
      </c>
      <c r="G14" s="32">
        <f>SUM(G15:G16)</f>
        <v>0</v>
      </c>
      <c r="H14" s="33">
        <f>SUM(H15:H16)</f>
        <v>472359</v>
      </c>
      <c r="I14" s="32">
        <f>SUM(I15:I16)</f>
        <v>511364</v>
      </c>
      <c r="J14" s="32">
        <f t="shared" ref="J14:K14" si="0">SUM(J15:J16)</f>
        <v>0</v>
      </c>
      <c r="K14" s="33">
        <f t="shared" si="0"/>
        <v>511364</v>
      </c>
      <c r="L14" s="32">
        <f>SUM(L15:L16)</f>
        <v>284797</v>
      </c>
      <c r="M14" s="32">
        <f t="shared" ref="M14:N14" si="1">SUM(M15:M16)</f>
        <v>0</v>
      </c>
      <c r="N14" s="33">
        <f t="shared" si="1"/>
        <v>284797</v>
      </c>
      <c r="O14" s="34"/>
      <c r="P14" s="99">
        <f>SUM(P15:P16)</f>
        <v>1268520</v>
      </c>
      <c r="Q14" s="99">
        <f t="shared" ref="Q14:R14" si="2">SUM(Q15:Q16)</f>
        <v>0</v>
      </c>
      <c r="R14" s="33">
        <f t="shared" si="2"/>
        <v>1268520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330651</v>
      </c>
      <c r="G15" s="58"/>
      <c r="H15" s="59">
        <f>F15-G15</f>
        <v>330651</v>
      </c>
      <c r="I15" s="60">
        <v>357955</v>
      </c>
      <c r="J15" s="61"/>
      <c r="K15" s="62">
        <f>I15-J15</f>
        <v>357955</v>
      </c>
      <c r="L15" s="63">
        <v>199358</v>
      </c>
      <c r="M15" s="61"/>
      <c r="N15" s="62">
        <f>L15-M15</f>
        <v>199358</v>
      </c>
      <c r="O15" s="37"/>
      <c r="P15" s="64">
        <f t="shared" ref="P15:P16" si="3">F15+I15+L15</f>
        <v>887964</v>
      </c>
      <c r="Q15" s="64">
        <f>G15+J15+M15</f>
        <v>0</v>
      </c>
      <c r="R15" s="64">
        <f>P15-Q15</f>
        <v>887964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141708</v>
      </c>
      <c r="G16" s="58"/>
      <c r="H16" s="59">
        <f>F16-G16</f>
        <v>141708</v>
      </c>
      <c r="I16" s="60">
        <v>153409</v>
      </c>
      <c r="J16" s="61"/>
      <c r="K16" s="62">
        <f>I16-J16</f>
        <v>153409</v>
      </c>
      <c r="L16" s="63">
        <v>85439</v>
      </c>
      <c r="M16" s="61"/>
      <c r="N16" s="62">
        <f>L16-M16</f>
        <v>85439</v>
      </c>
      <c r="O16" s="37"/>
      <c r="P16" s="64">
        <f t="shared" si="3"/>
        <v>380556</v>
      </c>
      <c r="Q16" s="64">
        <f>G16+J16+M16</f>
        <v>0</v>
      </c>
      <c r="R16" s="64">
        <f>P16-Q16</f>
        <v>380556</v>
      </c>
      <c r="U16" s="1" t="s">
        <v>126</v>
      </c>
      <c r="V16" s="153">
        <f>F17+F24+L17+L24</f>
        <v>6814400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3715729</v>
      </c>
      <c r="G17" s="66">
        <f>SUM(G18:G23)</f>
        <v>0</v>
      </c>
      <c r="H17" s="67">
        <f t="shared" ref="H17" si="4">SUM(H18:H23)</f>
        <v>3715729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2248671</v>
      </c>
      <c r="M17" s="66">
        <f>SUM(M18:M23)</f>
        <v>0</v>
      </c>
      <c r="N17" s="67">
        <f t="shared" ref="N17" si="6">SUM(N18:N23)</f>
        <v>2248671</v>
      </c>
      <c r="O17" s="48"/>
      <c r="P17" s="101">
        <f>SUM(P18:P23)</f>
        <v>5964400</v>
      </c>
      <c r="Q17" s="101">
        <f t="shared" ref="Q17:R17" si="7">SUM(Q18:Q23)</f>
        <v>0</v>
      </c>
      <c r="R17" s="67">
        <f t="shared" si="7"/>
        <v>5964400</v>
      </c>
      <c r="U17" s="1" t="s">
        <v>127</v>
      </c>
      <c r="V17" s="153">
        <f>F24+L24</f>
        <v>850000</v>
      </c>
      <c r="W17" s="154">
        <f>V17/V16</f>
        <v>0.12473585348673398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833207</v>
      </c>
      <c r="G18" s="58"/>
      <c r="H18" s="59">
        <f t="shared" ref="H18:H23" si="8">F18-G18</f>
        <v>833207</v>
      </c>
      <c r="I18" s="60"/>
      <c r="J18" s="61"/>
      <c r="K18" s="62">
        <f t="shared" ref="K18:K23" si="9">I18-J18</f>
        <v>0</v>
      </c>
      <c r="L18" s="63">
        <v>429228</v>
      </c>
      <c r="M18" s="61"/>
      <c r="N18" s="62">
        <f t="shared" ref="N18:N23" si="10">L18-M18</f>
        <v>429228</v>
      </c>
      <c r="O18" s="37"/>
      <c r="P18" s="64">
        <f t="shared" ref="P18:P23" si="11">F18+I18+L18</f>
        <v>1262435</v>
      </c>
      <c r="Q18" s="64">
        <f>G18+J18+M18</f>
        <v>0</v>
      </c>
      <c r="R18" s="64">
        <f t="shared" ref="R18:R23" si="12">P18-Q18</f>
        <v>1262435</v>
      </c>
      <c r="U18" s="1" t="s">
        <v>128</v>
      </c>
      <c r="V18" s="153">
        <f>G24+M24</f>
        <v>0</v>
      </c>
      <c r="W18" s="154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138">
        <v>2289749</v>
      </c>
      <c r="G19" s="58"/>
      <c r="H19" s="59">
        <f t="shared" si="8"/>
        <v>2289749</v>
      </c>
      <c r="I19" s="60"/>
      <c r="J19" s="61"/>
      <c r="K19" s="62">
        <f t="shared" si="9"/>
        <v>0</v>
      </c>
      <c r="L19" s="63">
        <v>1450783</v>
      </c>
      <c r="M19" s="61"/>
      <c r="N19" s="62">
        <f t="shared" si="10"/>
        <v>1450783</v>
      </c>
      <c r="O19" s="37"/>
      <c r="P19" s="64">
        <f t="shared" si="11"/>
        <v>3740532</v>
      </c>
      <c r="Q19" s="64">
        <f>G19+J19+M19</f>
        <v>0</v>
      </c>
      <c r="R19" s="64">
        <f t="shared" si="12"/>
        <v>3740532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553773</v>
      </c>
      <c r="G20" s="58"/>
      <c r="H20" s="59">
        <f t="shared" si="8"/>
        <v>553773</v>
      </c>
      <c r="I20" s="60"/>
      <c r="J20" s="61"/>
      <c r="K20" s="62">
        <f t="shared" si="9"/>
        <v>0</v>
      </c>
      <c r="L20" s="63">
        <v>347660</v>
      </c>
      <c r="M20" s="61"/>
      <c r="N20" s="62">
        <f t="shared" si="10"/>
        <v>347660</v>
      </c>
      <c r="O20" s="37"/>
      <c r="P20" s="64">
        <f t="shared" si="11"/>
        <v>901433</v>
      </c>
      <c r="Q20" s="64">
        <f>G20+J20+M20</f>
        <v>0</v>
      </c>
      <c r="R20" s="64">
        <f t="shared" si="12"/>
        <v>901433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39000</v>
      </c>
      <c r="G23" s="74"/>
      <c r="H23" s="75">
        <f t="shared" si="8"/>
        <v>39000</v>
      </c>
      <c r="I23" s="76"/>
      <c r="J23" s="77"/>
      <c r="K23" s="78">
        <f t="shared" si="9"/>
        <v>0</v>
      </c>
      <c r="L23" s="79">
        <v>21000</v>
      </c>
      <c r="M23" s="77"/>
      <c r="N23" s="78">
        <f t="shared" si="10"/>
        <v>21000</v>
      </c>
      <c r="O23" s="37"/>
      <c r="P23" s="64">
        <f t="shared" si="11"/>
        <v>60000</v>
      </c>
      <c r="Q23" s="64">
        <f>G23+J23+M23</f>
        <v>0</v>
      </c>
      <c r="R23" s="64">
        <f t="shared" si="12"/>
        <v>60000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535500</v>
      </c>
      <c r="G24" s="66">
        <f>SUM(G25:G32)</f>
        <v>0</v>
      </c>
      <c r="H24" s="67">
        <f>SUM(H25:H32)</f>
        <v>535500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314500</v>
      </c>
      <c r="M24" s="66">
        <f t="shared" ref="M24:N24" si="15">SUM(M25:M32)</f>
        <v>0</v>
      </c>
      <c r="N24" s="67">
        <f t="shared" si="15"/>
        <v>314500</v>
      </c>
      <c r="O24" s="48"/>
      <c r="P24" s="101">
        <f>SUM(P25:P32)</f>
        <v>850000</v>
      </c>
      <c r="Q24" s="101">
        <f t="shared" ref="Q24:R24" si="16">SUM(Q25:Q32)</f>
        <v>0</v>
      </c>
      <c r="R24" s="67">
        <f t="shared" si="16"/>
        <v>850000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126000</v>
      </c>
      <c r="G25" s="58"/>
      <c r="H25" s="59">
        <f>F25-G25</f>
        <v>126000</v>
      </c>
      <c r="I25" s="60"/>
      <c r="J25" s="61"/>
      <c r="K25" s="62">
        <f>I25-J25</f>
        <v>0</v>
      </c>
      <c r="L25" s="63">
        <v>74000</v>
      </c>
      <c r="M25" s="61"/>
      <c r="N25" s="62">
        <f>L25-M25</f>
        <v>74000</v>
      </c>
      <c r="O25" s="37"/>
      <c r="P25" s="64">
        <f t="shared" ref="P25:Q43" si="17">F25+I25+L25</f>
        <v>200000</v>
      </c>
      <c r="Q25" s="64">
        <f>G25+J25+M25</f>
        <v>0</v>
      </c>
      <c r="R25" s="64">
        <f>P25-Q25</f>
        <v>200000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315000</v>
      </c>
      <c r="G26" s="58"/>
      <c r="H26" s="59">
        <f>F26-G26</f>
        <v>315000</v>
      </c>
      <c r="I26" s="60"/>
      <c r="J26" s="61"/>
      <c r="K26" s="62">
        <f>I26-J26</f>
        <v>0</v>
      </c>
      <c r="L26" s="63">
        <v>185000</v>
      </c>
      <c r="M26" s="61"/>
      <c r="N26" s="62">
        <f>L26-M26</f>
        <v>185000</v>
      </c>
      <c r="O26" s="37"/>
      <c r="P26" s="64">
        <f t="shared" si="17"/>
        <v>500000</v>
      </c>
      <c r="Q26" s="64">
        <f>G26+J26+M26</f>
        <v>0</v>
      </c>
      <c r="R26" s="64">
        <f>P26-Q26</f>
        <v>500000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>
        <v>94500</v>
      </c>
      <c r="G27" s="58"/>
      <c r="H27" s="59">
        <f>F27-G27</f>
        <v>94500</v>
      </c>
      <c r="I27" s="60"/>
      <c r="J27" s="61"/>
      <c r="K27" s="62">
        <f>I27-J27</f>
        <v>0</v>
      </c>
      <c r="L27" s="63">
        <v>55500</v>
      </c>
      <c r="M27" s="61"/>
      <c r="N27" s="62">
        <f>L27-M27</f>
        <v>55500</v>
      </c>
      <c r="O27" s="37"/>
      <c r="P27" s="64">
        <f t="shared" si="17"/>
        <v>150000</v>
      </c>
      <c r="Q27" s="64">
        <f t="shared" ref="Q27:Q31" si="18">G27+J27+M27</f>
        <v>0</v>
      </c>
      <c r="R27" s="64">
        <f>P27-Q27</f>
        <v>150000</v>
      </c>
      <c r="S27" s="154"/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  <c r="S28" s="154"/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4602280</v>
      </c>
      <c r="J33" s="66">
        <f>SUM(J34:J43)</f>
        <v>0</v>
      </c>
      <c r="K33" s="67">
        <f>SUM(K34:K43)</f>
        <v>4602280</v>
      </c>
      <c r="L33" s="66"/>
      <c r="M33" s="66"/>
      <c r="N33" s="67"/>
      <c r="O33" s="48"/>
      <c r="P33" s="101">
        <f>SUM(P34:P43)</f>
        <v>4602280</v>
      </c>
      <c r="Q33" s="101">
        <f>SUM(Q34:Q43)</f>
        <v>0</v>
      </c>
      <c r="R33" s="67">
        <f>SUM(R34:R43)</f>
        <v>4602280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75000</v>
      </c>
      <c r="J34" s="58"/>
      <c r="K34" s="59">
        <f t="shared" ref="K34:K43" si="23">I34-J34</f>
        <v>75000</v>
      </c>
      <c r="L34" s="199"/>
      <c r="M34" s="189"/>
      <c r="N34" s="190"/>
      <c r="O34" s="37"/>
      <c r="P34" s="59">
        <f t="shared" si="17"/>
        <v>75000</v>
      </c>
      <c r="Q34" s="59">
        <f t="shared" si="17"/>
        <v>0</v>
      </c>
      <c r="R34" s="59">
        <f t="shared" ref="R34:R43" si="24">P34-Q34</f>
        <v>75000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615342</v>
      </c>
      <c r="J35" s="58"/>
      <c r="K35" s="59">
        <f t="shared" si="23"/>
        <v>615342</v>
      </c>
      <c r="L35" s="200"/>
      <c r="M35" s="192"/>
      <c r="N35" s="193"/>
      <c r="O35" s="37"/>
      <c r="P35" s="59">
        <f t="shared" si="17"/>
        <v>615342</v>
      </c>
      <c r="Q35" s="59">
        <f t="shared" si="17"/>
        <v>0</v>
      </c>
      <c r="R35" s="59">
        <f t="shared" si="24"/>
        <v>615342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/>
      <c r="J36" s="58"/>
      <c r="K36" s="59">
        <f t="shared" si="23"/>
        <v>0</v>
      </c>
      <c r="L36" s="200"/>
      <c r="M36" s="192"/>
      <c r="N36" s="193"/>
      <c r="O36" s="37"/>
      <c r="P36" s="59">
        <f t="shared" si="17"/>
        <v>0</v>
      </c>
      <c r="Q36" s="59">
        <f t="shared" si="17"/>
        <v>0</v>
      </c>
      <c r="R36" s="59">
        <f t="shared" si="24"/>
        <v>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2761368</v>
      </c>
      <c r="J37" s="58"/>
      <c r="K37" s="59">
        <f t="shared" si="23"/>
        <v>2761368</v>
      </c>
      <c r="L37" s="200"/>
      <c r="M37" s="192"/>
      <c r="N37" s="193"/>
      <c r="O37" s="37"/>
      <c r="P37" s="59">
        <f t="shared" si="17"/>
        <v>2761368</v>
      </c>
      <c r="Q37" s="59">
        <f t="shared" si="17"/>
        <v>0</v>
      </c>
      <c r="R37" s="59">
        <f t="shared" si="24"/>
        <v>2761368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25000</v>
      </c>
      <c r="J39" s="58"/>
      <c r="K39" s="59">
        <f t="shared" si="23"/>
        <v>25000</v>
      </c>
      <c r="L39" s="200"/>
      <c r="M39" s="192"/>
      <c r="N39" s="193"/>
      <c r="O39" s="37"/>
      <c r="P39" s="59">
        <f t="shared" si="17"/>
        <v>25000</v>
      </c>
      <c r="Q39" s="59">
        <f t="shared" si="17"/>
        <v>0</v>
      </c>
      <c r="R39" s="59">
        <f t="shared" si="24"/>
        <v>25000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205114</v>
      </c>
      <c r="J40" s="58"/>
      <c r="K40" s="59">
        <f t="shared" si="23"/>
        <v>205114</v>
      </c>
      <c r="L40" s="200"/>
      <c r="M40" s="192"/>
      <c r="N40" s="193"/>
      <c r="O40" s="37"/>
      <c r="P40" s="59">
        <f t="shared" si="17"/>
        <v>205114</v>
      </c>
      <c r="Q40" s="59">
        <f t="shared" si="17"/>
        <v>0</v>
      </c>
      <c r="R40" s="59">
        <f t="shared" si="24"/>
        <v>205114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920456</v>
      </c>
      <c r="J42" s="74"/>
      <c r="K42" s="75">
        <f t="shared" si="23"/>
        <v>920456</v>
      </c>
      <c r="L42" s="200"/>
      <c r="M42" s="192"/>
      <c r="N42" s="193"/>
      <c r="O42" s="37"/>
      <c r="P42" s="59">
        <f t="shared" si="17"/>
        <v>920456</v>
      </c>
      <c r="Q42" s="59">
        <f t="shared" si="17"/>
        <v>0</v>
      </c>
      <c r="R42" s="59">
        <f t="shared" si="24"/>
        <v>920456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4723588</v>
      </c>
      <c r="G44" s="106">
        <f t="shared" si="25"/>
        <v>0</v>
      </c>
      <c r="H44" s="106">
        <f t="shared" si="25"/>
        <v>4723588</v>
      </c>
      <c r="I44" s="105">
        <f t="shared" si="25"/>
        <v>5113644</v>
      </c>
      <c r="J44" s="105">
        <f t="shared" si="25"/>
        <v>0</v>
      </c>
      <c r="K44" s="105">
        <f t="shared" si="25"/>
        <v>5113644</v>
      </c>
      <c r="L44" s="105">
        <f t="shared" si="25"/>
        <v>2847968</v>
      </c>
      <c r="M44" s="105">
        <f t="shared" si="25"/>
        <v>0</v>
      </c>
      <c r="N44" s="105">
        <f t="shared" si="25"/>
        <v>2847968</v>
      </c>
      <c r="O44" s="37"/>
      <c r="P44" s="105">
        <f t="shared" ref="P44:R44" si="26">P14+P17+P24+P33</f>
        <v>12685200</v>
      </c>
      <c r="Q44" s="105">
        <f t="shared" si="26"/>
        <v>0</v>
      </c>
      <c r="R44" s="105">
        <f t="shared" si="26"/>
        <v>12685200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>Calculation Error</v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/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>WBT ERROR</v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203" t="s">
        <v>148</v>
      </c>
      <c r="B54" s="203"/>
      <c r="C54" s="203"/>
      <c r="D54" s="203"/>
      <c r="E54" s="203"/>
      <c r="F54" s="203"/>
    </row>
    <row r="55" spans="1:15" x14ac:dyDescent="0.25">
      <c r="A55" s="203" t="s">
        <v>149</v>
      </c>
      <c r="B55" s="203"/>
      <c r="C55" s="203"/>
      <c r="D55" s="203"/>
      <c r="E55" s="203"/>
      <c r="F55" s="203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H16" sqref="H16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50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v>765288</v>
      </c>
      <c r="G10" s="22">
        <f>G44</f>
        <v>0</v>
      </c>
      <c r="H10" s="23">
        <f>F10-G10</f>
        <v>765288</v>
      </c>
      <c r="I10" s="22">
        <v>985407</v>
      </c>
      <c r="J10" s="22">
        <f>J44</f>
        <v>0</v>
      </c>
      <c r="K10" s="23">
        <f>I10-J10</f>
        <v>985407</v>
      </c>
      <c r="L10" s="22">
        <f>893104-3318+2707.86</f>
        <v>892493.86</v>
      </c>
      <c r="M10" s="22">
        <f>M44</f>
        <v>0</v>
      </c>
      <c r="N10" s="23">
        <f>L10-M10</f>
        <v>892493.86</v>
      </c>
      <c r="O10" s="24"/>
      <c r="P10" s="22">
        <f>F10+I10+L10</f>
        <v>2643188.86</v>
      </c>
      <c r="Q10" s="22">
        <f>Q41</f>
        <v>0</v>
      </c>
      <c r="R10" s="23">
        <f>P10-Q10</f>
        <v>2643188.86</v>
      </c>
    </row>
    <row r="11" spans="1:41" ht="15.75" thickTop="1" x14ac:dyDescent="0.25"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76529</v>
      </c>
      <c r="G14" s="32">
        <f>SUM(G15:G16)</f>
        <v>0</v>
      </c>
      <c r="H14" s="33">
        <f>SUM(H15:H16)</f>
        <v>76529</v>
      </c>
      <c r="I14" s="32">
        <f>SUM(I15:I16)</f>
        <v>98541</v>
      </c>
      <c r="J14" s="32">
        <f t="shared" ref="J14:K14" si="0">SUM(J15:J16)</f>
        <v>0</v>
      </c>
      <c r="K14" s="33">
        <f t="shared" si="0"/>
        <v>98541</v>
      </c>
      <c r="L14" s="32">
        <f>SUM(L15:L16)</f>
        <v>89310</v>
      </c>
      <c r="M14" s="32">
        <f t="shared" ref="M14:N14" si="1">SUM(M15:M16)</f>
        <v>0</v>
      </c>
      <c r="N14" s="33">
        <f t="shared" si="1"/>
        <v>89310</v>
      </c>
      <c r="O14" s="34"/>
      <c r="P14" s="99">
        <f>SUM(P15:P16)</f>
        <v>264380</v>
      </c>
      <c r="Q14" s="99">
        <f t="shared" ref="Q14:R14" si="2">SUM(Q15:Q16)</f>
        <v>0</v>
      </c>
      <c r="R14" s="33">
        <f t="shared" si="2"/>
        <v>264380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61223</v>
      </c>
      <c r="G15" s="58"/>
      <c r="H15" s="59">
        <f>F15-G15</f>
        <v>61223</v>
      </c>
      <c r="I15" s="60">
        <v>78833</v>
      </c>
      <c r="J15" s="61"/>
      <c r="K15" s="62">
        <f>I15-J15</f>
        <v>78833</v>
      </c>
      <c r="L15" s="63">
        <v>71448</v>
      </c>
      <c r="M15" s="61"/>
      <c r="N15" s="62">
        <f>L15-M15</f>
        <v>71448</v>
      </c>
      <c r="O15" s="37"/>
      <c r="P15" s="64">
        <f t="shared" ref="P15:P16" si="3">F15+I15+L15</f>
        <v>211504</v>
      </c>
      <c r="Q15" s="64">
        <f>G15+J15+M15</f>
        <v>0</v>
      </c>
      <c r="R15" s="64">
        <f>P15-Q15</f>
        <v>211504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15306</v>
      </c>
      <c r="G16" s="58"/>
      <c r="H16" s="59">
        <f>F16-G16</f>
        <v>15306</v>
      </c>
      <c r="I16" s="60">
        <v>19708</v>
      </c>
      <c r="J16" s="61"/>
      <c r="K16" s="62">
        <f>I16-J16</f>
        <v>19708</v>
      </c>
      <c r="L16" s="63">
        <v>17862</v>
      </c>
      <c r="M16" s="61"/>
      <c r="N16" s="62">
        <f>L16-M16</f>
        <v>17862</v>
      </c>
      <c r="O16" s="37"/>
      <c r="P16" s="64">
        <f t="shared" si="3"/>
        <v>52876</v>
      </c>
      <c r="Q16" s="64">
        <f>G16+J16+M16</f>
        <v>0</v>
      </c>
      <c r="R16" s="64">
        <f>P16-Q16</f>
        <v>52876</v>
      </c>
      <c r="U16" s="1" t="s">
        <v>126</v>
      </c>
      <c r="V16" s="153">
        <f>F17+F24+L17+L24</f>
        <v>1492553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568915</v>
      </c>
      <c r="G17" s="66">
        <f>SUM(G18:G23)</f>
        <v>0</v>
      </c>
      <c r="H17" s="67">
        <f t="shared" ref="H17" si="4">SUM(H18:H23)</f>
        <v>568915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663933</v>
      </c>
      <c r="M17" s="66">
        <f>SUM(M18:M23)</f>
        <v>0</v>
      </c>
      <c r="N17" s="67">
        <f t="shared" ref="N17" si="6">SUM(N18:N23)</f>
        <v>663933</v>
      </c>
      <c r="O17" s="48"/>
      <c r="P17" s="101">
        <f>SUM(P18:P23)</f>
        <v>1232848</v>
      </c>
      <c r="Q17" s="101">
        <f t="shared" ref="Q17:R17" si="7">SUM(Q18:Q23)</f>
        <v>0</v>
      </c>
      <c r="R17" s="67">
        <f t="shared" si="7"/>
        <v>1232848</v>
      </c>
      <c r="U17" s="1" t="s">
        <v>127</v>
      </c>
      <c r="V17" s="153">
        <f>F24+L24</f>
        <v>259705</v>
      </c>
      <c r="W17" s="1">
        <f>V17/V16</f>
        <v>0.17400052125452162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479377</v>
      </c>
      <c r="G18" s="58"/>
      <c r="H18" s="59">
        <f t="shared" ref="H18:H23" si="8">F18-G18</f>
        <v>479377</v>
      </c>
      <c r="I18" s="60"/>
      <c r="J18" s="61"/>
      <c r="K18" s="62">
        <f t="shared" ref="K18:K23" si="9">I18-J18</f>
        <v>0</v>
      </c>
      <c r="L18" s="63">
        <v>559439</v>
      </c>
      <c r="M18" s="61"/>
      <c r="N18" s="62">
        <f t="shared" ref="N18:N23" si="10">L18-M18</f>
        <v>559439</v>
      </c>
      <c r="O18" s="37"/>
      <c r="P18" s="64">
        <f t="shared" ref="P18:P23" si="11">F18+I18+L18</f>
        <v>1038816</v>
      </c>
      <c r="Q18" s="64">
        <f>G18+J18+M18</f>
        <v>0</v>
      </c>
      <c r="R18" s="64">
        <f t="shared" ref="R18:R23" si="12">P18-Q18</f>
        <v>1038816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49590</v>
      </c>
      <c r="G19" s="58"/>
      <c r="H19" s="59">
        <f t="shared" si="8"/>
        <v>49590</v>
      </c>
      <c r="I19" s="60"/>
      <c r="J19" s="61"/>
      <c r="K19" s="62">
        <f t="shared" si="9"/>
        <v>0</v>
      </c>
      <c r="L19" s="63">
        <v>57873</v>
      </c>
      <c r="M19" s="61"/>
      <c r="N19" s="62">
        <f t="shared" si="10"/>
        <v>57873</v>
      </c>
      <c r="O19" s="37"/>
      <c r="P19" s="64">
        <f t="shared" si="11"/>
        <v>107463</v>
      </c>
      <c r="Q19" s="64">
        <f>G19+J19+M19</f>
        <v>0</v>
      </c>
      <c r="R19" s="64">
        <f t="shared" si="12"/>
        <v>107463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38570</v>
      </c>
      <c r="G20" s="58"/>
      <c r="H20" s="59">
        <f t="shared" si="8"/>
        <v>38570</v>
      </c>
      <c r="I20" s="60"/>
      <c r="J20" s="61"/>
      <c r="K20" s="62">
        <f t="shared" si="9"/>
        <v>0</v>
      </c>
      <c r="L20" s="63">
        <v>45013</v>
      </c>
      <c r="M20" s="61"/>
      <c r="N20" s="62">
        <f t="shared" si="10"/>
        <v>45013</v>
      </c>
      <c r="O20" s="37"/>
      <c r="P20" s="64">
        <f t="shared" si="11"/>
        <v>83583</v>
      </c>
      <c r="Q20" s="64">
        <f>G20+J20+M20</f>
        <v>0</v>
      </c>
      <c r="R20" s="64">
        <f t="shared" si="12"/>
        <v>83583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1378</v>
      </c>
      <c r="G23" s="74"/>
      <c r="H23" s="75">
        <f t="shared" si="8"/>
        <v>1378</v>
      </c>
      <c r="I23" s="76"/>
      <c r="J23" s="77"/>
      <c r="K23" s="78">
        <f t="shared" si="9"/>
        <v>0</v>
      </c>
      <c r="L23" s="79">
        <v>1608</v>
      </c>
      <c r="M23" s="77"/>
      <c r="N23" s="78">
        <f t="shared" si="10"/>
        <v>1608</v>
      </c>
      <c r="O23" s="37"/>
      <c r="P23" s="64">
        <f t="shared" si="11"/>
        <v>2986</v>
      </c>
      <c r="Q23" s="64">
        <f>G23+J23+M23</f>
        <v>0</v>
      </c>
      <c r="R23" s="64">
        <f t="shared" si="12"/>
        <v>2986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119844</v>
      </c>
      <c r="G24" s="66">
        <f>SUM(G25:G32)</f>
        <v>0</v>
      </c>
      <c r="H24" s="67">
        <f>SUM(H25:H32)</f>
        <v>119844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139861</v>
      </c>
      <c r="M24" s="66">
        <f t="shared" ref="M24:N24" si="15">SUM(M25:M32)</f>
        <v>0</v>
      </c>
      <c r="N24" s="67">
        <f t="shared" si="15"/>
        <v>139861</v>
      </c>
      <c r="O24" s="48"/>
      <c r="P24" s="101">
        <f>SUM(P25:P32)</f>
        <v>259705</v>
      </c>
      <c r="Q24" s="101">
        <f t="shared" ref="Q24:R24" si="16">SUM(Q25:Q32)</f>
        <v>0</v>
      </c>
      <c r="R24" s="67">
        <f t="shared" si="16"/>
        <v>259705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88161</v>
      </c>
      <c r="G25" s="58"/>
      <c r="H25" s="59">
        <f>F25-G25</f>
        <v>88161</v>
      </c>
      <c r="I25" s="60"/>
      <c r="J25" s="61"/>
      <c r="K25" s="62">
        <f>I25-J25</f>
        <v>0</v>
      </c>
      <c r="L25" s="63">
        <v>102886</v>
      </c>
      <c r="M25" s="61"/>
      <c r="N25" s="62">
        <f>L25-M25</f>
        <v>102886</v>
      </c>
      <c r="O25" s="37"/>
      <c r="P25" s="64">
        <f t="shared" ref="P25:Q43" si="17">F25+I25+L25</f>
        <v>191047</v>
      </c>
      <c r="Q25" s="64">
        <f>G25+J25+M25</f>
        <v>0</v>
      </c>
      <c r="R25" s="64">
        <f>P25-Q25</f>
        <v>191047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31683</v>
      </c>
      <c r="G26" s="58"/>
      <c r="H26" s="59">
        <f>F26-G26</f>
        <v>31683</v>
      </c>
      <c r="I26" s="60"/>
      <c r="J26" s="61"/>
      <c r="K26" s="62">
        <f>I26-J26</f>
        <v>0</v>
      </c>
      <c r="L26" s="63">
        <v>36975</v>
      </c>
      <c r="M26" s="61"/>
      <c r="N26" s="62">
        <f>L26-M26</f>
        <v>36975</v>
      </c>
      <c r="O26" s="37"/>
      <c r="P26" s="64">
        <f t="shared" si="17"/>
        <v>68658</v>
      </c>
      <c r="Q26" s="64">
        <f>G26+J26+M26</f>
        <v>0</v>
      </c>
      <c r="R26" s="64">
        <f>P26-Q26</f>
        <v>68658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886866</v>
      </c>
      <c r="J33" s="66">
        <f>SUM(J34:J43)</f>
        <v>0</v>
      </c>
      <c r="K33" s="67">
        <f>SUM(K34:K43)</f>
        <v>886866</v>
      </c>
      <c r="L33" s="66"/>
      <c r="M33" s="66"/>
      <c r="N33" s="67"/>
      <c r="O33" s="48"/>
      <c r="P33" s="101">
        <f>SUM(P34:P43)</f>
        <v>886866</v>
      </c>
      <c r="Q33" s="101">
        <f>SUM(Q34:Q43)</f>
        <v>0</v>
      </c>
      <c r="R33" s="67">
        <f>SUM(R34:R43)</f>
        <v>886866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172052</v>
      </c>
      <c r="J34" s="58"/>
      <c r="K34" s="59">
        <f t="shared" ref="K34:K43" si="23">I34-J34</f>
        <v>172052</v>
      </c>
      <c r="L34" s="199"/>
      <c r="M34" s="189"/>
      <c r="N34" s="190"/>
      <c r="O34" s="37"/>
      <c r="P34" s="59">
        <f t="shared" si="17"/>
        <v>172052</v>
      </c>
      <c r="Q34" s="59">
        <f t="shared" si="17"/>
        <v>0</v>
      </c>
      <c r="R34" s="59">
        <f t="shared" ref="R34:R43" si="24">P34-Q34</f>
        <v>172052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172052</v>
      </c>
      <c r="J35" s="58"/>
      <c r="K35" s="59">
        <f t="shared" si="23"/>
        <v>172052</v>
      </c>
      <c r="L35" s="200"/>
      <c r="M35" s="192"/>
      <c r="N35" s="193"/>
      <c r="O35" s="37"/>
      <c r="P35" s="59">
        <f t="shared" si="17"/>
        <v>172052</v>
      </c>
      <c r="Q35" s="59">
        <f t="shared" si="17"/>
        <v>0</v>
      </c>
      <c r="R35" s="59">
        <f t="shared" si="24"/>
        <v>172052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129039</v>
      </c>
      <c r="J36" s="58"/>
      <c r="K36" s="59">
        <f t="shared" si="23"/>
        <v>129039</v>
      </c>
      <c r="L36" s="200"/>
      <c r="M36" s="192"/>
      <c r="N36" s="193"/>
      <c r="O36" s="37"/>
      <c r="P36" s="59">
        <f t="shared" si="17"/>
        <v>129039</v>
      </c>
      <c r="Q36" s="59">
        <f t="shared" si="17"/>
        <v>0</v>
      </c>
      <c r="R36" s="59">
        <f t="shared" si="24"/>
        <v>129039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387117</v>
      </c>
      <c r="J37" s="58"/>
      <c r="K37" s="59">
        <f t="shared" si="23"/>
        <v>387117</v>
      </c>
      <c r="L37" s="200"/>
      <c r="M37" s="192"/>
      <c r="N37" s="193"/>
      <c r="O37" s="37"/>
      <c r="P37" s="59">
        <f t="shared" si="17"/>
        <v>387117</v>
      </c>
      <c r="Q37" s="59">
        <f t="shared" si="17"/>
        <v>0</v>
      </c>
      <c r="R37" s="59">
        <f t="shared" si="24"/>
        <v>387117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5321</v>
      </c>
      <c r="J39" s="58"/>
      <c r="K39" s="59">
        <f t="shared" si="23"/>
        <v>5321</v>
      </c>
      <c r="L39" s="200"/>
      <c r="M39" s="192"/>
      <c r="N39" s="193"/>
      <c r="O39" s="37"/>
      <c r="P39" s="59">
        <f t="shared" si="17"/>
        <v>5321</v>
      </c>
      <c r="Q39" s="59">
        <f t="shared" si="17"/>
        <v>0</v>
      </c>
      <c r="R39" s="59">
        <f t="shared" si="24"/>
        <v>5321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5321</v>
      </c>
      <c r="J40" s="58"/>
      <c r="K40" s="59">
        <f t="shared" si="23"/>
        <v>5321</v>
      </c>
      <c r="L40" s="200"/>
      <c r="M40" s="192"/>
      <c r="N40" s="193"/>
      <c r="O40" s="37"/>
      <c r="P40" s="59">
        <f t="shared" si="17"/>
        <v>5321</v>
      </c>
      <c r="Q40" s="59">
        <f t="shared" si="17"/>
        <v>0</v>
      </c>
      <c r="R40" s="59">
        <f t="shared" si="24"/>
        <v>5321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3990</v>
      </c>
      <c r="J41" s="58"/>
      <c r="K41" s="59">
        <f t="shared" si="23"/>
        <v>3990</v>
      </c>
      <c r="L41" s="200"/>
      <c r="M41" s="192"/>
      <c r="N41" s="193"/>
      <c r="O41" s="37"/>
      <c r="P41" s="59">
        <f t="shared" si="17"/>
        <v>3990</v>
      </c>
      <c r="Q41" s="59">
        <f t="shared" si="17"/>
        <v>0</v>
      </c>
      <c r="R41" s="59">
        <f t="shared" si="24"/>
        <v>3990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11974</v>
      </c>
      <c r="J42" s="74"/>
      <c r="K42" s="75">
        <f t="shared" si="23"/>
        <v>11974</v>
      </c>
      <c r="L42" s="200"/>
      <c r="M42" s="192"/>
      <c r="N42" s="193"/>
      <c r="O42" s="37"/>
      <c r="P42" s="59">
        <f t="shared" si="17"/>
        <v>11974</v>
      </c>
      <c r="Q42" s="59">
        <f t="shared" si="17"/>
        <v>0</v>
      </c>
      <c r="R42" s="59">
        <f t="shared" si="24"/>
        <v>11974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765288</v>
      </c>
      <c r="G44" s="106">
        <f t="shared" si="25"/>
        <v>0</v>
      </c>
      <c r="H44" s="106">
        <f t="shared" si="25"/>
        <v>765288</v>
      </c>
      <c r="I44" s="105">
        <f t="shared" si="25"/>
        <v>985407</v>
      </c>
      <c r="J44" s="105">
        <f t="shared" si="25"/>
        <v>0</v>
      </c>
      <c r="K44" s="105">
        <f t="shared" si="25"/>
        <v>985407</v>
      </c>
      <c r="L44" s="105">
        <f t="shared" si="25"/>
        <v>893104</v>
      </c>
      <c r="M44" s="105">
        <f t="shared" si="25"/>
        <v>0</v>
      </c>
      <c r="N44" s="105">
        <f t="shared" si="25"/>
        <v>893104</v>
      </c>
      <c r="O44" s="37"/>
      <c r="P44" s="105">
        <f t="shared" ref="P44:R44" si="26">P14+P17+P24+P33</f>
        <v>2643799</v>
      </c>
      <c r="Q44" s="105">
        <f t="shared" si="26"/>
        <v>0</v>
      </c>
      <c r="R44" s="105">
        <f t="shared" si="26"/>
        <v>2643799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8"/>
      <c r="B55" s="208"/>
      <c r="C55" s="208"/>
      <c r="D55" s="208"/>
      <c r="E55" s="208"/>
      <c r="F55" s="208"/>
    </row>
    <row r="56" spans="1:15" x14ac:dyDescent="0.25">
      <c r="A56" s="208"/>
      <c r="B56" s="208"/>
      <c r="C56" s="208"/>
      <c r="D56" s="208"/>
      <c r="E56" s="208"/>
      <c r="F56" s="208"/>
    </row>
    <row r="57" spans="1:15" x14ac:dyDescent="0.25">
      <c r="A57" s="204"/>
      <c r="B57" s="204"/>
      <c r="C57" s="204"/>
      <c r="D57" s="204"/>
      <c r="E57" s="204"/>
      <c r="F57" s="204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51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v>973115</v>
      </c>
      <c r="G10" s="22">
        <f>G44</f>
        <v>0</v>
      </c>
      <c r="H10" s="23">
        <f>F10-G10</f>
        <v>973115</v>
      </c>
      <c r="I10" s="22">
        <v>983971</v>
      </c>
      <c r="J10" s="22">
        <f>J44</f>
        <v>0</v>
      </c>
      <c r="K10" s="23">
        <f>I10-J10</f>
        <v>983971</v>
      </c>
      <c r="L10" s="22">
        <v>889305</v>
      </c>
      <c r="M10" s="22">
        <f>M44</f>
        <v>0</v>
      </c>
      <c r="N10" s="23">
        <f>L10-M10</f>
        <v>889305</v>
      </c>
      <c r="O10" s="24"/>
      <c r="P10" s="22">
        <f>F10+I10+L10</f>
        <v>2846391</v>
      </c>
      <c r="Q10" s="22">
        <f>Q41</f>
        <v>0</v>
      </c>
      <c r="R10" s="23">
        <f>P10-Q10</f>
        <v>2846391</v>
      </c>
    </row>
    <row r="11" spans="1:41" ht="15.75" thickTop="1" x14ac:dyDescent="0.25">
      <c r="B11" s="134" t="s">
        <v>106</v>
      </c>
      <c r="C11" s="134"/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97311</v>
      </c>
      <c r="G14" s="32">
        <f>SUM(G15:G16)</f>
        <v>0</v>
      </c>
      <c r="H14" s="33">
        <f>SUM(H15:H16)</f>
        <v>97311</v>
      </c>
      <c r="I14" s="32">
        <f>SUM(I15:I16)</f>
        <v>98397</v>
      </c>
      <c r="J14" s="32">
        <f t="shared" ref="J14:K14" si="0">SUM(J15:J16)</f>
        <v>0</v>
      </c>
      <c r="K14" s="33">
        <f t="shared" si="0"/>
        <v>98397</v>
      </c>
      <c r="L14" s="32">
        <f>SUM(L15:L16)</f>
        <v>88930</v>
      </c>
      <c r="M14" s="32">
        <f t="shared" ref="M14:N14" si="1">SUM(M15:M16)</f>
        <v>0</v>
      </c>
      <c r="N14" s="33">
        <f t="shared" si="1"/>
        <v>88930</v>
      </c>
      <c r="O14" s="34"/>
      <c r="P14" s="99">
        <f>SUM(P15:P16)</f>
        <v>284638</v>
      </c>
      <c r="Q14" s="99">
        <f t="shared" ref="Q14:R14" si="2">SUM(Q15:Q16)</f>
        <v>0</v>
      </c>
      <c r="R14" s="33">
        <f t="shared" si="2"/>
        <v>284638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54600</v>
      </c>
      <c r="G15" s="58"/>
      <c r="H15" s="59">
        <f>F15-G15</f>
        <v>54600</v>
      </c>
      <c r="I15" s="60">
        <v>72800</v>
      </c>
      <c r="J15" s="61"/>
      <c r="K15" s="62">
        <f>I15-J15</f>
        <v>72800</v>
      </c>
      <c r="L15" s="63">
        <v>54600</v>
      </c>
      <c r="M15" s="61"/>
      <c r="N15" s="62">
        <f>L15-M15</f>
        <v>54600</v>
      </c>
      <c r="O15" s="37"/>
      <c r="P15" s="64">
        <f t="shared" ref="P15:P16" si="3">F15+I15+L15</f>
        <v>182000</v>
      </c>
      <c r="Q15" s="64">
        <f>G15+J15+M15</f>
        <v>0</v>
      </c>
      <c r="R15" s="64">
        <f>P15-Q15</f>
        <v>182000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42711</v>
      </c>
      <c r="G16" s="58"/>
      <c r="H16" s="59">
        <f>F16-G16</f>
        <v>42711</v>
      </c>
      <c r="I16" s="60">
        <v>25597</v>
      </c>
      <c r="J16" s="61"/>
      <c r="K16" s="62">
        <f>I16-J16</f>
        <v>25597</v>
      </c>
      <c r="L16" s="63">
        <v>34330</v>
      </c>
      <c r="M16" s="61"/>
      <c r="N16" s="62">
        <f>L16-M16</f>
        <v>34330</v>
      </c>
      <c r="O16" s="37"/>
      <c r="P16" s="64">
        <f t="shared" si="3"/>
        <v>102638</v>
      </c>
      <c r="Q16" s="64">
        <f>G16+J16+M16</f>
        <v>0</v>
      </c>
      <c r="R16" s="64">
        <f>P16-Q16</f>
        <v>102638</v>
      </c>
      <c r="U16" s="1" t="s">
        <v>126</v>
      </c>
      <c r="V16" s="153">
        <f>F17+F24+L17+L24</f>
        <v>1676179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694804</v>
      </c>
      <c r="G17" s="66">
        <f>SUM(G18:G23)</f>
        <v>0</v>
      </c>
      <c r="H17" s="67">
        <f t="shared" ref="H17" si="4">SUM(H18:H23)</f>
        <v>694804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581615</v>
      </c>
      <c r="M17" s="66">
        <f>SUM(M18:M23)</f>
        <v>0</v>
      </c>
      <c r="N17" s="67">
        <f t="shared" ref="N17" si="6">SUM(N18:N23)</f>
        <v>581615</v>
      </c>
      <c r="O17" s="48"/>
      <c r="P17" s="101">
        <f>SUM(P18:P23)</f>
        <v>1276419</v>
      </c>
      <c r="Q17" s="101">
        <f t="shared" ref="Q17:R17" si="7">SUM(Q18:Q23)</f>
        <v>0</v>
      </c>
      <c r="R17" s="67">
        <f t="shared" si="7"/>
        <v>1276419</v>
      </c>
      <c r="U17" s="1" t="s">
        <v>127</v>
      </c>
      <c r="V17" s="153">
        <f>F24+L24</f>
        <v>399760</v>
      </c>
      <c r="W17" s="1">
        <f>V17/V16</f>
        <v>0.23849481469461198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138">
        <v>506847</v>
      </c>
      <c r="G18" s="58"/>
      <c r="H18" s="59">
        <f t="shared" ref="H18:H23" si="8">F18-G18</f>
        <v>506847</v>
      </c>
      <c r="I18" s="60"/>
      <c r="J18" s="61"/>
      <c r="K18" s="62">
        <f t="shared" ref="K18:K23" si="9">I18-J18</f>
        <v>0</v>
      </c>
      <c r="L18" s="139">
        <v>345805</v>
      </c>
      <c r="M18" s="61"/>
      <c r="N18" s="62">
        <f t="shared" ref="N18:N23" si="10">L18-M18</f>
        <v>345805</v>
      </c>
      <c r="O18" s="37"/>
      <c r="P18" s="64">
        <f t="shared" ref="P18:P23" si="11">F18+I18+L18</f>
        <v>852652</v>
      </c>
      <c r="Q18" s="64">
        <f>G18+J18+M18</f>
        <v>0</v>
      </c>
      <c r="R18" s="64">
        <f t="shared" ref="R18:R23" si="12">P18-Q18</f>
        <v>852652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180957</v>
      </c>
      <c r="G19" s="58"/>
      <c r="H19" s="59">
        <f t="shared" si="8"/>
        <v>180957</v>
      </c>
      <c r="I19" s="60"/>
      <c r="J19" s="61"/>
      <c r="K19" s="62">
        <f t="shared" si="9"/>
        <v>0</v>
      </c>
      <c r="L19" s="139">
        <v>227810</v>
      </c>
      <c r="M19" s="61"/>
      <c r="N19" s="62">
        <f t="shared" si="10"/>
        <v>227810</v>
      </c>
      <c r="O19" s="37"/>
      <c r="P19" s="64">
        <f t="shared" si="11"/>
        <v>408767</v>
      </c>
      <c r="Q19" s="64">
        <f>G19+J19+M19</f>
        <v>0</v>
      </c>
      <c r="R19" s="64">
        <f t="shared" si="12"/>
        <v>408767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138">
        <v>6000</v>
      </c>
      <c r="G20" s="58"/>
      <c r="H20" s="59">
        <f t="shared" si="8"/>
        <v>6000</v>
      </c>
      <c r="I20" s="60"/>
      <c r="J20" s="61"/>
      <c r="K20" s="62">
        <f t="shared" si="9"/>
        <v>0</v>
      </c>
      <c r="L20" s="139">
        <v>7000</v>
      </c>
      <c r="M20" s="61"/>
      <c r="N20" s="62">
        <f t="shared" si="10"/>
        <v>7000</v>
      </c>
      <c r="O20" s="37"/>
      <c r="P20" s="64">
        <f t="shared" si="11"/>
        <v>13000</v>
      </c>
      <c r="Q20" s="64">
        <f>G20+J20+M20</f>
        <v>0</v>
      </c>
      <c r="R20" s="64">
        <f t="shared" si="12"/>
        <v>13000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1000</v>
      </c>
      <c r="G23" s="74"/>
      <c r="H23" s="75">
        <f t="shared" si="8"/>
        <v>1000</v>
      </c>
      <c r="I23" s="76"/>
      <c r="J23" s="77"/>
      <c r="K23" s="78">
        <f t="shared" si="9"/>
        <v>0</v>
      </c>
      <c r="L23" s="79">
        <v>1000</v>
      </c>
      <c r="M23" s="77"/>
      <c r="N23" s="78">
        <f t="shared" si="10"/>
        <v>1000</v>
      </c>
      <c r="O23" s="37"/>
      <c r="P23" s="64">
        <f t="shared" si="11"/>
        <v>2000</v>
      </c>
      <c r="Q23" s="64">
        <f>G23+J23+M23</f>
        <v>0</v>
      </c>
      <c r="R23" s="64">
        <f t="shared" si="12"/>
        <v>2000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181000</v>
      </c>
      <c r="G24" s="66">
        <f>SUM(G25:G32)</f>
        <v>0</v>
      </c>
      <c r="H24" s="67">
        <f>SUM(H25:H32)</f>
        <v>181000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218760</v>
      </c>
      <c r="M24" s="66">
        <f t="shared" ref="M24:N24" si="15">SUM(M25:M32)</f>
        <v>0</v>
      </c>
      <c r="N24" s="67">
        <f t="shared" si="15"/>
        <v>218760</v>
      </c>
      <c r="O24" s="48"/>
      <c r="P24" s="101">
        <f>SUM(P25:P32)</f>
        <v>399760</v>
      </c>
      <c r="Q24" s="101">
        <f t="shared" ref="Q24:R24" si="16">SUM(Q25:Q32)</f>
        <v>0</v>
      </c>
      <c r="R24" s="67">
        <f t="shared" si="16"/>
        <v>399760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125000</v>
      </c>
      <c r="G25" s="58"/>
      <c r="H25" s="59">
        <f>F25-G25</f>
        <v>125000</v>
      </c>
      <c r="I25" s="60"/>
      <c r="J25" s="61"/>
      <c r="K25" s="62">
        <f>I25-J25</f>
        <v>0</v>
      </c>
      <c r="L25" s="63">
        <v>150000</v>
      </c>
      <c r="M25" s="61"/>
      <c r="N25" s="62">
        <f>L25-M25</f>
        <v>150000</v>
      </c>
      <c r="O25" s="37"/>
      <c r="P25" s="64">
        <f t="shared" ref="P25:Q43" si="17">F25+I25+L25</f>
        <v>275000</v>
      </c>
      <c r="Q25" s="64">
        <f>G25+J25+M25</f>
        <v>0</v>
      </c>
      <c r="R25" s="64">
        <f>P25-Q25</f>
        <v>275000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50000</v>
      </c>
      <c r="G26" s="58"/>
      <c r="H26" s="59">
        <f>F26-G26</f>
        <v>50000</v>
      </c>
      <c r="I26" s="60"/>
      <c r="J26" s="61"/>
      <c r="K26" s="62">
        <f>I26-J26</f>
        <v>0</v>
      </c>
      <c r="L26" s="139">
        <v>62760</v>
      </c>
      <c r="M26" s="61"/>
      <c r="N26" s="62">
        <f>L26-M26</f>
        <v>62760</v>
      </c>
      <c r="O26" s="37"/>
      <c r="P26" s="64">
        <f t="shared" si="17"/>
        <v>112760</v>
      </c>
      <c r="Q26" s="64">
        <f>G26+J26+M26</f>
        <v>0</v>
      </c>
      <c r="R26" s="64">
        <f>P26-Q26</f>
        <v>112760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>
        <v>6000</v>
      </c>
      <c r="G32" s="58"/>
      <c r="H32" s="59">
        <f>F32-G32</f>
        <v>6000</v>
      </c>
      <c r="I32" s="60"/>
      <c r="J32" s="61"/>
      <c r="K32" s="62">
        <f>I32-J32</f>
        <v>0</v>
      </c>
      <c r="L32" s="63">
        <v>6000</v>
      </c>
      <c r="M32" s="61"/>
      <c r="N32" s="62">
        <f>L32-M32</f>
        <v>6000</v>
      </c>
      <c r="O32" s="37"/>
      <c r="P32" s="64">
        <f t="shared" si="17"/>
        <v>12000</v>
      </c>
      <c r="Q32" s="64">
        <f>G32+J32+M32</f>
        <v>0</v>
      </c>
      <c r="R32" s="64">
        <f>P32-Q32</f>
        <v>12000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885574</v>
      </c>
      <c r="J33" s="66">
        <f>SUM(J34:J43)</f>
        <v>0</v>
      </c>
      <c r="K33" s="67">
        <f>SUM(K34:K43)</f>
        <v>885574</v>
      </c>
      <c r="L33" s="66"/>
      <c r="M33" s="66"/>
      <c r="N33" s="67"/>
      <c r="O33" s="48"/>
      <c r="P33" s="101">
        <f>SUM(P34:P43)</f>
        <v>885574</v>
      </c>
      <c r="Q33" s="101">
        <f>SUM(Q34:Q43)</f>
        <v>0</v>
      </c>
      <c r="R33" s="67">
        <f>SUM(R34:R43)</f>
        <v>885574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138">
        <v>125000</v>
      </c>
      <c r="J34" s="58"/>
      <c r="K34" s="59">
        <f t="shared" ref="K34:K43" si="23">I34-J34</f>
        <v>125000</v>
      </c>
      <c r="L34" s="199"/>
      <c r="M34" s="189"/>
      <c r="N34" s="190"/>
      <c r="O34" s="37"/>
      <c r="P34" s="59">
        <f t="shared" si="17"/>
        <v>125000</v>
      </c>
      <c r="Q34" s="59">
        <f t="shared" si="17"/>
        <v>0</v>
      </c>
      <c r="R34" s="59">
        <f t="shared" ref="R34:R43" si="24">P34-Q34</f>
        <v>125000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138">
        <v>141760</v>
      </c>
      <c r="J35" s="58"/>
      <c r="K35" s="59">
        <f t="shared" si="23"/>
        <v>141760</v>
      </c>
      <c r="L35" s="200"/>
      <c r="M35" s="192"/>
      <c r="N35" s="193"/>
      <c r="O35" s="37"/>
      <c r="P35" s="59">
        <f t="shared" si="17"/>
        <v>141760</v>
      </c>
      <c r="Q35" s="59">
        <f t="shared" si="17"/>
        <v>0</v>
      </c>
      <c r="R35" s="59">
        <f t="shared" si="24"/>
        <v>141760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100000</v>
      </c>
      <c r="J36" s="58"/>
      <c r="K36" s="59">
        <f t="shared" si="23"/>
        <v>100000</v>
      </c>
      <c r="L36" s="200"/>
      <c r="M36" s="192"/>
      <c r="N36" s="193"/>
      <c r="O36" s="37"/>
      <c r="P36" s="59">
        <f t="shared" si="17"/>
        <v>100000</v>
      </c>
      <c r="Q36" s="59">
        <f t="shared" si="17"/>
        <v>0</v>
      </c>
      <c r="R36" s="59">
        <f t="shared" si="24"/>
        <v>100000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138">
        <v>307729</v>
      </c>
      <c r="J37" s="58"/>
      <c r="K37" s="59">
        <f t="shared" si="23"/>
        <v>307729</v>
      </c>
      <c r="L37" s="200"/>
      <c r="M37" s="192"/>
      <c r="N37" s="193"/>
      <c r="O37" s="37"/>
      <c r="P37" s="59">
        <f t="shared" si="17"/>
        <v>307729</v>
      </c>
      <c r="Q37" s="59">
        <f t="shared" si="17"/>
        <v>0</v>
      </c>
      <c r="R37" s="59">
        <f t="shared" si="24"/>
        <v>307729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138">
        <v>14711</v>
      </c>
      <c r="J38" s="58"/>
      <c r="K38" s="59">
        <f t="shared" si="23"/>
        <v>14711</v>
      </c>
      <c r="L38" s="200"/>
      <c r="M38" s="192"/>
      <c r="N38" s="193"/>
      <c r="O38" s="37"/>
      <c r="P38" s="59">
        <f t="shared" si="17"/>
        <v>14711</v>
      </c>
      <c r="Q38" s="59">
        <f t="shared" si="17"/>
        <v>0</v>
      </c>
      <c r="R38" s="59">
        <f t="shared" si="24"/>
        <v>14711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35000</v>
      </c>
      <c r="J39" s="58"/>
      <c r="K39" s="59">
        <f t="shared" si="23"/>
        <v>35000</v>
      </c>
      <c r="L39" s="200"/>
      <c r="M39" s="192"/>
      <c r="N39" s="193"/>
      <c r="O39" s="37"/>
      <c r="P39" s="59">
        <f t="shared" si="17"/>
        <v>35000</v>
      </c>
      <c r="Q39" s="59">
        <f t="shared" si="17"/>
        <v>0</v>
      </c>
      <c r="R39" s="59">
        <f t="shared" si="24"/>
        <v>35000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23920</v>
      </c>
      <c r="J40" s="58"/>
      <c r="K40" s="59">
        <f t="shared" si="23"/>
        <v>23920</v>
      </c>
      <c r="L40" s="200"/>
      <c r="M40" s="192"/>
      <c r="N40" s="193"/>
      <c r="O40" s="37"/>
      <c r="P40" s="59">
        <f t="shared" si="17"/>
        <v>23920</v>
      </c>
      <c r="Q40" s="59">
        <f t="shared" si="17"/>
        <v>0</v>
      </c>
      <c r="R40" s="59">
        <f t="shared" si="24"/>
        <v>23920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137454</v>
      </c>
      <c r="J42" s="74"/>
      <c r="K42" s="75">
        <f t="shared" si="23"/>
        <v>137454</v>
      </c>
      <c r="L42" s="200"/>
      <c r="M42" s="192"/>
      <c r="N42" s="193"/>
      <c r="O42" s="37"/>
      <c r="P42" s="59">
        <f t="shared" si="17"/>
        <v>137454</v>
      </c>
      <c r="Q42" s="59">
        <f t="shared" si="17"/>
        <v>0</v>
      </c>
      <c r="R42" s="59">
        <f t="shared" si="24"/>
        <v>137454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973115</v>
      </c>
      <c r="G44" s="106">
        <f t="shared" si="25"/>
        <v>0</v>
      </c>
      <c r="H44" s="106">
        <f t="shared" si="25"/>
        <v>973115</v>
      </c>
      <c r="I44" s="105">
        <f t="shared" si="25"/>
        <v>983971</v>
      </c>
      <c r="J44" s="105">
        <f t="shared" si="25"/>
        <v>0</v>
      </c>
      <c r="K44" s="105">
        <f t="shared" si="25"/>
        <v>983971</v>
      </c>
      <c r="L44" s="105">
        <f t="shared" si="25"/>
        <v>889305</v>
      </c>
      <c r="M44" s="105">
        <f t="shared" si="25"/>
        <v>0</v>
      </c>
      <c r="N44" s="105">
        <f t="shared" si="25"/>
        <v>889305</v>
      </c>
      <c r="O44" s="37"/>
      <c r="P44" s="105">
        <f t="shared" ref="P44:R44" si="26">P14+P17+P24+P33</f>
        <v>2846391</v>
      </c>
      <c r="Q44" s="105">
        <f t="shared" si="26"/>
        <v>0</v>
      </c>
      <c r="R44" s="105">
        <f t="shared" si="26"/>
        <v>2846391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/>
      </c>
      <c r="M45" s="37"/>
      <c r="N45" s="37"/>
      <c r="O45" s="37"/>
      <c r="P45" s="37" t="str">
        <f>IF(P44&lt;&gt;P10,"Calculation Error","")</f>
        <v/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85"/>
      <c r="J48" s="85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80"/>
      <c r="G49" s="80"/>
      <c r="H49" s="80"/>
      <c r="I49" s="112"/>
      <c r="J49" s="85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3" t="s">
        <v>83</v>
      </c>
      <c r="B55" s="203"/>
      <c r="C55" s="203"/>
      <c r="D55" s="203"/>
      <c r="E55" s="203"/>
      <c r="F55" s="203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203" t="s">
        <v>116</v>
      </c>
      <c r="B60" s="203"/>
      <c r="C60" s="203"/>
      <c r="D60" s="203"/>
      <c r="E60" s="203"/>
      <c r="F60" s="203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 showPageBreaks="1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6.1406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52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497524-4219.19-L11+2611.07</f>
        <v>245915.88</v>
      </c>
      <c r="G10" s="22">
        <f>G44</f>
        <v>0</v>
      </c>
      <c r="H10" s="23">
        <f>F10-G10</f>
        <v>245915.88</v>
      </c>
      <c r="I10" s="22">
        <v>624664</v>
      </c>
      <c r="J10" s="22">
        <f>J44</f>
        <v>0</v>
      </c>
      <c r="K10" s="23">
        <f>I10-J10</f>
        <v>624664</v>
      </c>
      <c r="L10" s="22">
        <f>660600-3036+L11+2476.21</f>
        <v>910040.21</v>
      </c>
      <c r="M10" s="22">
        <f>M44</f>
        <v>0</v>
      </c>
      <c r="N10" s="23">
        <f>L10-M10</f>
        <v>910040.21</v>
      </c>
      <c r="O10" s="24"/>
      <c r="P10" s="22">
        <f>F10+I10+L10</f>
        <v>1780620.0899999999</v>
      </c>
      <c r="Q10" s="22">
        <f>Q41</f>
        <v>0</v>
      </c>
      <c r="R10" s="23">
        <f>P10-Q10</f>
        <v>1780620.0899999999</v>
      </c>
    </row>
    <row r="11" spans="1:41" ht="15.75" thickTop="1" x14ac:dyDescent="0.25">
      <c r="E11" s="157" t="s">
        <v>134</v>
      </c>
      <c r="F11" s="159">
        <v>-250000</v>
      </c>
      <c r="H11" s="6"/>
      <c r="K11" s="6"/>
      <c r="L11" s="159">
        <v>250000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49331</v>
      </c>
      <c r="G14" s="32">
        <f>SUM(G15:G16)</f>
        <v>0</v>
      </c>
      <c r="H14" s="33">
        <f>SUM(H15:H16)</f>
        <v>49331</v>
      </c>
      <c r="I14" s="32">
        <f>SUM(I15:I16)</f>
        <v>62466</v>
      </c>
      <c r="J14" s="32">
        <f t="shared" ref="J14:K14" si="0">SUM(J15:J16)</f>
        <v>0</v>
      </c>
      <c r="K14" s="33">
        <f t="shared" si="0"/>
        <v>62466</v>
      </c>
      <c r="L14" s="32">
        <f>SUM(L15:L16)</f>
        <v>65756</v>
      </c>
      <c r="M14" s="32">
        <f t="shared" ref="M14:N14" si="1">SUM(M15:M16)</f>
        <v>0</v>
      </c>
      <c r="N14" s="33">
        <f t="shared" si="1"/>
        <v>65756</v>
      </c>
      <c r="O14" s="34"/>
      <c r="P14" s="99">
        <f>SUM(P15:P16)</f>
        <v>177553</v>
      </c>
      <c r="Q14" s="99">
        <f t="shared" ref="Q14:R14" si="2">SUM(Q15:Q16)</f>
        <v>0</v>
      </c>
      <c r="R14" s="33">
        <f t="shared" si="2"/>
        <v>177553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38305</v>
      </c>
      <c r="G15" s="58"/>
      <c r="H15" s="59">
        <f>F15-G15</f>
        <v>38305</v>
      </c>
      <c r="I15" s="60">
        <v>48505</v>
      </c>
      <c r="J15" s="61"/>
      <c r="K15" s="62">
        <f>I15-J15</f>
        <v>48505</v>
      </c>
      <c r="L15" s="63">
        <v>51053</v>
      </c>
      <c r="M15" s="61"/>
      <c r="N15" s="62">
        <f>L15-M15</f>
        <v>51053</v>
      </c>
      <c r="O15" s="37"/>
      <c r="P15" s="64">
        <f t="shared" ref="P15:P16" si="3">F15+I15+L15</f>
        <v>137863</v>
      </c>
      <c r="Q15" s="64">
        <f>G15+J15+M15</f>
        <v>0</v>
      </c>
      <c r="R15" s="64">
        <f>P15-Q15</f>
        <v>137863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11026</v>
      </c>
      <c r="G16" s="58"/>
      <c r="H16" s="59">
        <f>F16-G16</f>
        <v>11026</v>
      </c>
      <c r="I16" s="60">
        <v>13961</v>
      </c>
      <c r="J16" s="61"/>
      <c r="K16" s="62">
        <f>I16-J16</f>
        <v>13961</v>
      </c>
      <c r="L16" s="63">
        <v>14703</v>
      </c>
      <c r="M16" s="61"/>
      <c r="N16" s="62">
        <f>L16-M16</f>
        <v>14703</v>
      </c>
      <c r="O16" s="37"/>
      <c r="P16" s="64">
        <f t="shared" si="3"/>
        <v>39690</v>
      </c>
      <c r="Q16" s="64">
        <f>G16+J16+M16</f>
        <v>0</v>
      </c>
      <c r="R16" s="64">
        <f>P16-Q16</f>
        <v>39690</v>
      </c>
      <c r="U16" s="1" t="s">
        <v>126</v>
      </c>
      <c r="V16" s="153">
        <f>F17+F24+L17+L24</f>
        <v>1035782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433974</v>
      </c>
      <c r="G17" s="66">
        <f>SUM(G18:G23)</f>
        <v>0</v>
      </c>
      <c r="H17" s="67">
        <f t="shared" ref="H17" si="4">SUM(H18:H23)</f>
        <v>433974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541808</v>
      </c>
      <c r="M17" s="66">
        <f>SUM(M18:M23)</f>
        <v>0</v>
      </c>
      <c r="N17" s="67">
        <f t="shared" ref="N17" si="6">SUM(N18:N23)</f>
        <v>541808</v>
      </c>
      <c r="O17" s="48"/>
      <c r="P17" s="101">
        <f>SUM(P18:P23)</f>
        <v>975782</v>
      </c>
      <c r="Q17" s="101">
        <f t="shared" ref="Q17:R17" si="7">SUM(Q18:Q23)</f>
        <v>0</v>
      </c>
      <c r="R17" s="67">
        <f t="shared" si="7"/>
        <v>975782</v>
      </c>
      <c r="U17" s="1" t="s">
        <v>127</v>
      </c>
      <c r="V17" s="153">
        <f>F24+L24</f>
        <v>60000</v>
      </c>
      <c r="W17" s="1">
        <f>V17/V16</f>
        <v>5.7927247239283941E-2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310190</v>
      </c>
      <c r="G18" s="58"/>
      <c r="H18" s="59">
        <f t="shared" ref="H18:H23" si="8">F18-G18</f>
        <v>310190</v>
      </c>
      <c r="I18" s="60"/>
      <c r="J18" s="61"/>
      <c r="K18" s="62">
        <f t="shared" ref="K18:K23" si="9">I18-J18</f>
        <v>0</v>
      </c>
      <c r="L18" s="63">
        <v>378850</v>
      </c>
      <c r="M18" s="61"/>
      <c r="N18" s="62">
        <f t="shared" ref="N18:N23" si="10">L18-M18</f>
        <v>378850</v>
      </c>
      <c r="O18" s="37"/>
      <c r="P18" s="64">
        <f t="shared" ref="P18:P23" si="11">F18+I18+L18</f>
        <v>689040</v>
      </c>
      <c r="Q18" s="64">
        <f>G18+J18+M18</f>
        <v>0</v>
      </c>
      <c r="R18" s="64">
        <f t="shared" ref="R18:R23" si="12">P18-Q18</f>
        <v>689040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113784</v>
      </c>
      <c r="G19" s="58"/>
      <c r="H19" s="59">
        <f t="shared" si="8"/>
        <v>113784</v>
      </c>
      <c r="I19" s="60"/>
      <c r="J19" s="61"/>
      <c r="K19" s="62">
        <f t="shared" si="9"/>
        <v>0</v>
      </c>
      <c r="L19" s="63">
        <v>132958</v>
      </c>
      <c r="M19" s="61"/>
      <c r="N19" s="62">
        <f t="shared" si="10"/>
        <v>132958</v>
      </c>
      <c r="O19" s="37"/>
      <c r="P19" s="64">
        <f t="shared" si="11"/>
        <v>246742</v>
      </c>
      <c r="Q19" s="64">
        <f>G19+J19+M19</f>
        <v>0</v>
      </c>
      <c r="R19" s="64">
        <f t="shared" si="12"/>
        <v>246742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>
        <v>5000</v>
      </c>
      <c r="G21" s="68"/>
      <c r="H21" s="69">
        <f t="shared" si="8"/>
        <v>5000</v>
      </c>
      <c r="I21" s="60"/>
      <c r="J21" s="70"/>
      <c r="K21" s="71">
        <f t="shared" si="9"/>
        <v>0</v>
      </c>
      <c r="L21" s="72">
        <v>15000</v>
      </c>
      <c r="M21" s="70"/>
      <c r="N21" s="62">
        <f t="shared" si="10"/>
        <v>15000</v>
      </c>
      <c r="O21" s="37"/>
      <c r="P21" s="64">
        <f t="shared" si="11"/>
        <v>20000</v>
      </c>
      <c r="Q21" s="64">
        <f t="shared" ref="Q21:Q22" si="13">G21+J21+M21</f>
        <v>0</v>
      </c>
      <c r="R21" s="64">
        <f t="shared" si="12"/>
        <v>20000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5000</v>
      </c>
      <c r="G23" s="74"/>
      <c r="H23" s="75">
        <f t="shared" si="8"/>
        <v>5000</v>
      </c>
      <c r="I23" s="76"/>
      <c r="J23" s="77"/>
      <c r="K23" s="78">
        <f t="shared" si="9"/>
        <v>0</v>
      </c>
      <c r="L23" s="79">
        <v>15000</v>
      </c>
      <c r="M23" s="77"/>
      <c r="N23" s="78">
        <f t="shared" si="10"/>
        <v>15000</v>
      </c>
      <c r="O23" s="37"/>
      <c r="P23" s="64">
        <f t="shared" si="11"/>
        <v>20000</v>
      </c>
      <c r="Q23" s="64">
        <f>G23+J23+M23</f>
        <v>0</v>
      </c>
      <c r="R23" s="64">
        <f t="shared" si="12"/>
        <v>20000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10000</v>
      </c>
      <c r="G24" s="66">
        <f>SUM(G25:G32)</f>
        <v>0</v>
      </c>
      <c r="H24" s="67">
        <f>SUM(H25:H32)</f>
        <v>10000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50000</v>
      </c>
      <c r="M24" s="66">
        <f t="shared" ref="M24:N24" si="15">SUM(M25:M32)</f>
        <v>0</v>
      </c>
      <c r="N24" s="67">
        <f t="shared" si="15"/>
        <v>50000</v>
      </c>
      <c r="O24" s="48"/>
      <c r="P24" s="101">
        <f>SUM(P25:P32)</f>
        <v>60000</v>
      </c>
      <c r="Q24" s="101">
        <f t="shared" ref="Q24:R24" si="16">SUM(Q25:Q32)</f>
        <v>0</v>
      </c>
      <c r="R24" s="67">
        <f t="shared" si="16"/>
        <v>60000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/>
      <c r="G25" s="58"/>
      <c r="H25" s="59">
        <f>F25-G25</f>
        <v>0</v>
      </c>
      <c r="I25" s="60"/>
      <c r="J25" s="61"/>
      <c r="K25" s="62">
        <f>I25-J25</f>
        <v>0</v>
      </c>
      <c r="L25" s="63"/>
      <c r="M25" s="61"/>
      <c r="N25" s="62">
        <f>L25-M25</f>
        <v>0</v>
      </c>
      <c r="O25" s="37"/>
      <c r="P25" s="64">
        <f t="shared" ref="P25:Q43" si="17">F25+I25+L25</f>
        <v>0</v>
      </c>
      <c r="Q25" s="64">
        <f>G25+J25+M25</f>
        <v>0</v>
      </c>
      <c r="R25" s="64">
        <f>P25-Q25</f>
        <v>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/>
      <c r="G26" s="58"/>
      <c r="H26" s="59">
        <f>F26-G26</f>
        <v>0</v>
      </c>
      <c r="I26" s="60"/>
      <c r="J26" s="61"/>
      <c r="K26" s="62">
        <f>I26-J26</f>
        <v>0</v>
      </c>
      <c r="L26" s="63"/>
      <c r="M26" s="61"/>
      <c r="N26" s="62">
        <f>L26-M26</f>
        <v>0</v>
      </c>
      <c r="O26" s="37"/>
      <c r="P26" s="64">
        <f t="shared" si="17"/>
        <v>0</v>
      </c>
      <c r="Q26" s="64">
        <f>G26+J26+M26</f>
        <v>0</v>
      </c>
      <c r="R26" s="64">
        <f>P26-Q26</f>
        <v>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>
        <v>10000</v>
      </c>
      <c r="G32" s="58"/>
      <c r="H32" s="59">
        <f>F32-G32</f>
        <v>10000</v>
      </c>
      <c r="I32" s="60"/>
      <c r="J32" s="61"/>
      <c r="K32" s="62">
        <f>I32-J32</f>
        <v>0</v>
      </c>
      <c r="L32" s="63">
        <v>50000</v>
      </c>
      <c r="M32" s="61"/>
      <c r="N32" s="62">
        <f>L32-M32</f>
        <v>50000</v>
      </c>
      <c r="O32" s="37"/>
      <c r="P32" s="64">
        <f t="shared" si="17"/>
        <v>60000</v>
      </c>
      <c r="Q32" s="64">
        <f>G32+J32+M32</f>
        <v>0</v>
      </c>
      <c r="R32" s="64">
        <f>P32-Q32</f>
        <v>60000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562198</v>
      </c>
      <c r="J33" s="66">
        <f>SUM(J34:J43)</f>
        <v>0</v>
      </c>
      <c r="K33" s="67">
        <f>SUM(K34:K43)</f>
        <v>562198</v>
      </c>
      <c r="L33" s="66"/>
      <c r="M33" s="66"/>
      <c r="N33" s="67"/>
      <c r="O33" s="48"/>
      <c r="P33" s="101">
        <f>SUM(P34:P43)</f>
        <v>562198</v>
      </c>
      <c r="Q33" s="101">
        <f>SUM(Q34:Q43)</f>
        <v>0</v>
      </c>
      <c r="R33" s="67">
        <f>SUM(R34:R43)</f>
        <v>562198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142345</v>
      </c>
      <c r="J34" s="58"/>
      <c r="K34" s="59">
        <f t="shared" ref="K34:K43" si="23">I34-J34</f>
        <v>142345</v>
      </c>
      <c r="L34" s="199"/>
      <c r="M34" s="189"/>
      <c r="N34" s="190"/>
      <c r="O34" s="37"/>
      <c r="P34" s="59">
        <f t="shared" si="17"/>
        <v>142345</v>
      </c>
      <c r="Q34" s="59">
        <f t="shared" si="17"/>
        <v>0</v>
      </c>
      <c r="R34" s="59">
        <f t="shared" ref="R34:R43" si="24">P34-Q34</f>
        <v>142345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127423</v>
      </c>
      <c r="J35" s="58"/>
      <c r="K35" s="59">
        <f t="shared" si="23"/>
        <v>127423</v>
      </c>
      <c r="L35" s="200"/>
      <c r="M35" s="192"/>
      <c r="N35" s="193"/>
      <c r="O35" s="37"/>
      <c r="P35" s="59">
        <f t="shared" si="17"/>
        <v>127423</v>
      </c>
      <c r="Q35" s="59">
        <f t="shared" si="17"/>
        <v>0</v>
      </c>
      <c r="R35" s="59">
        <f t="shared" si="24"/>
        <v>127423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65375</v>
      </c>
      <c r="J36" s="58"/>
      <c r="K36" s="59">
        <f t="shared" si="23"/>
        <v>65375</v>
      </c>
      <c r="L36" s="200"/>
      <c r="M36" s="192"/>
      <c r="N36" s="193"/>
      <c r="O36" s="37"/>
      <c r="P36" s="59">
        <f t="shared" si="17"/>
        <v>65375</v>
      </c>
      <c r="Q36" s="59">
        <f t="shared" si="17"/>
        <v>0</v>
      </c>
      <c r="R36" s="59">
        <f t="shared" si="24"/>
        <v>65375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106758</v>
      </c>
      <c r="J37" s="58"/>
      <c r="K37" s="59">
        <f t="shared" si="23"/>
        <v>106758</v>
      </c>
      <c r="L37" s="200"/>
      <c r="M37" s="192"/>
      <c r="N37" s="193"/>
      <c r="O37" s="37"/>
      <c r="P37" s="59">
        <f t="shared" si="17"/>
        <v>106758</v>
      </c>
      <c r="Q37" s="59">
        <f t="shared" si="17"/>
        <v>0</v>
      </c>
      <c r="R37" s="59">
        <f t="shared" si="24"/>
        <v>106758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3"/>
        <v>0</v>
      </c>
      <c r="L39" s="200"/>
      <c r="M39" s="192"/>
      <c r="N39" s="193"/>
      <c r="O39" s="37"/>
      <c r="P39" s="59">
        <f t="shared" si="17"/>
        <v>0</v>
      </c>
      <c r="Q39" s="59">
        <f t="shared" si="17"/>
        <v>0</v>
      </c>
      <c r="R39" s="59">
        <f t="shared" si="24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120297</v>
      </c>
      <c r="J41" s="58"/>
      <c r="K41" s="59">
        <f t="shared" si="23"/>
        <v>120297</v>
      </c>
      <c r="L41" s="200"/>
      <c r="M41" s="192"/>
      <c r="N41" s="193"/>
      <c r="O41" s="37"/>
      <c r="P41" s="59">
        <f t="shared" si="17"/>
        <v>120297</v>
      </c>
      <c r="Q41" s="59">
        <f t="shared" si="17"/>
        <v>0</v>
      </c>
      <c r="R41" s="59">
        <f t="shared" si="24"/>
        <v>120297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493305</v>
      </c>
      <c r="G44" s="106">
        <f t="shared" si="25"/>
        <v>0</v>
      </c>
      <c r="H44" s="106">
        <f t="shared" si="25"/>
        <v>493305</v>
      </c>
      <c r="I44" s="105">
        <f t="shared" si="25"/>
        <v>624664</v>
      </c>
      <c r="J44" s="105">
        <f t="shared" si="25"/>
        <v>0</v>
      </c>
      <c r="K44" s="105">
        <f t="shared" si="25"/>
        <v>624664</v>
      </c>
      <c r="L44" s="105">
        <f t="shared" si="25"/>
        <v>657564</v>
      </c>
      <c r="M44" s="105">
        <f t="shared" si="25"/>
        <v>0</v>
      </c>
      <c r="N44" s="105">
        <f t="shared" si="25"/>
        <v>657564</v>
      </c>
      <c r="O44" s="37"/>
      <c r="P44" s="105">
        <f t="shared" ref="P44:R44" si="26">P14+P17+P24+P33</f>
        <v>1775533</v>
      </c>
      <c r="Q44" s="105">
        <f t="shared" si="26"/>
        <v>0</v>
      </c>
      <c r="R44" s="105">
        <f t="shared" si="26"/>
        <v>1775533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5" t="s">
        <v>86</v>
      </c>
      <c r="B55" s="205"/>
      <c r="C55" s="205"/>
      <c r="D55" s="205"/>
      <c r="E55" s="205"/>
      <c r="F55" s="205"/>
    </row>
    <row r="56" spans="1:15" x14ac:dyDescent="0.25">
      <c r="A56" s="205" t="s">
        <v>87</v>
      </c>
      <c r="B56" s="205"/>
      <c r="C56" s="205"/>
      <c r="D56" s="205"/>
      <c r="E56" s="205"/>
      <c r="F56" s="205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203" t="s">
        <v>129</v>
      </c>
      <c r="B59" s="203"/>
      <c r="C59" s="203"/>
      <c r="D59" s="203"/>
      <c r="E59" s="203"/>
      <c r="F59" s="203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H16" sqref="H16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  <mergeCell ref="A55:F55"/>
    <mergeCell ref="A56:F56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AO62"/>
  <sheetViews>
    <sheetView tabSelected="1" topLeftCell="A28" zoomScale="85" zoomScaleNormal="85" workbookViewId="0">
      <selection activeCell="A59" sqref="A59:A60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42578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53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56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449680-233.95+F11+174.86</f>
        <v>466270.91</v>
      </c>
      <c r="G10" s="22">
        <f>G44</f>
        <v>442831.00999999995</v>
      </c>
      <c r="H10" s="23">
        <f>F10-G10</f>
        <v>23439.900000000023</v>
      </c>
      <c r="I10" s="22">
        <v>438912</v>
      </c>
      <c r="J10" s="22">
        <f>J44</f>
        <v>416431.77</v>
      </c>
      <c r="K10" s="23">
        <f>I10-J10</f>
        <v>22480.229999999981</v>
      </c>
      <c r="L10" s="22">
        <f>683839-F11</f>
        <v>667189</v>
      </c>
      <c r="M10" s="22">
        <f>M44</f>
        <v>614375.53</v>
      </c>
      <c r="N10" s="23">
        <f>L10-M10</f>
        <v>52813.469999999972</v>
      </c>
      <c r="O10" s="24"/>
      <c r="P10" s="22">
        <f>F10+I10+L10</f>
        <v>1572371.91</v>
      </c>
      <c r="Q10" s="22">
        <f>Q41</f>
        <v>0</v>
      </c>
      <c r="R10" s="23">
        <f>P10-Q10</f>
        <v>1572371.91</v>
      </c>
    </row>
    <row r="11" spans="1:41" ht="15.75" thickTop="1" x14ac:dyDescent="0.25">
      <c r="E11" s="157" t="s">
        <v>133</v>
      </c>
      <c r="F11" s="158">
        <v>16650</v>
      </c>
      <c r="H11" s="6"/>
      <c r="K11" s="6"/>
      <c r="L11" s="158">
        <v>-16650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46627</v>
      </c>
      <c r="G14" s="32">
        <f>SUM(G15:G16)</f>
        <v>45502.659999999996</v>
      </c>
      <c r="H14" s="33">
        <f>SUM(H15:H16)</f>
        <v>1124.340000000002</v>
      </c>
      <c r="I14" s="32">
        <f>SUM(I15:I16)</f>
        <v>43892</v>
      </c>
      <c r="J14" s="32">
        <f t="shared" ref="J14:K14" si="0">SUM(J15:J16)</f>
        <v>43891</v>
      </c>
      <c r="K14" s="33">
        <f t="shared" si="0"/>
        <v>0.99999999999727152</v>
      </c>
      <c r="L14" s="32">
        <f>SUM(L15:L16)</f>
        <v>66719</v>
      </c>
      <c r="M14" s="32">
        <f t="shared" ref="M14:N14" si="1">SUM(M15:M16)</f>
        <v>66719</v>
      </c>
      <c r="N14" s="33">
        <f t="shared" si="1"/>
        <v>-3.637978807091713E-12</v>
      </c>
      <c r="O14" s="34"/>
      <c r="P14" s="99">
        <f>SUM(P15:P16)</f>
        <v>157238</v>
      </c>
      <c r="Q14" s="99">
        <f t="shared" ref="Q14:R14" si="2">SUM(Q15:Q16)</f>
        <v>156112.66</v>
      </c>
      <c r="R14" s="33">
        <f t="shared" si="2"/>
        <v>1125.3400000000038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35385</v>
      </c>
      <c r="G15" s="58">
        <f>4760.17+1665+25504.64</f>
        <v>31929.809999999998</v>
      </c>
      <c r="H15" s="59">
        <f>F15-G15</f>
        <v>3455.1900000000023</v>
      </c>
      <c r="I15" s="60">
        <v>32918</v>
      </c>
      <c r="J15" s="61">
        <v>37357.370000000003</v>
      </c>
      <c r="K15" s="62">
        <f>I15-J15</f>
        <v>-4439.3700000000026</v>
      </c>
      <c r="L15" s="63">
        <v>47980</v>
      </c>
      <c r="M15" s="61">
        <f>7171.73+40808.4</f>
        <v>47980.130000000005</v>
      </c>
      <c r="N15" s="62">
        <f>L15-M15</f>
        <v>-0.13000000000465661</v>
      </c>
      <c r="O15" s="37"/>
      <c r="P15" s="64">
        <f t="shared" ref="P15:P16" si="3">F15+I15+L15</f>
        <v>116283</v>
      </c>
      <c r="Q15" s="64">
        <f>G15+J15+M15</f>
        <v>117267.31</v>
      </c>
      <c r="R15" s="64">
        <f>P15-Q15</f>
        <v>-984.30999999999767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11242</v>
      </c>
      <c r="G16" s="58">
        <f>965.83+12607.02</f>
        <v>13572.85</v>
      </c>
      <c r="H16" s="59">
        <f>F16-G16</f>
        <v>-2330.8500000000004</v>
      </c>
      <c r="I16" s="60">
        <v>10974</v>
      </c>
      <c r="J16" s="61">
        <v>6533.63</v>
      </c>
      <c r="K16" s="62">
        <f>I16-J16</f>
        <v>4440.37</v>
      </c>
      <c r="L16" s="63">
        <v>18739</v>
      </c>
      <c r="M16" s="61">
        <f>1969.27+16769.6</f>
        <v>18738.87</v>
      </c>
      <c r="N16" s="62">
        <f>L16-M16</f>
        <v>0.13000000000101863</v>
      </c>
      <c r="O16" s="37"/>
      <c r="P16" s="64">
        <f t="shared" si="3"/>
        <v>40955</v>
      </c>
      <c r="Q16" s="64">
        <f>G16+J16+M16</f>
        <v>38845.35</v>
      </c>
      <c r="R16" s="64">
        <f>P16-Q16</f>
        <v>2109.6500000000015</v>
      </c>
      <c r="U16" s="1" t="s">
        <v>126</v>
      </c>
      <c r="V16" s="153">
        <f>F17+F24+L17+L24</f>
        <v>1020114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339697</v>
      </c>
      <c r="G17" s="66">
        <f>SUM(G18:G23)</f>
        <v>342012.99</v>
      </c>
      <c r="H17" s="67">
        <f t="shared" ref="H17" si="4">SUM(H18:H23)</f>
        <v>-2315.9900000000125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548317</v>
      </c>
      <c r="M17" s="66">
        <f>SUM(M18:M23)</f>
        <v>503564.84000000008</v>
      </c>
      <c r="N17" s="67">
        <f t="shared" ref="N17" si="6">SUM(N18:N23)</f>
        <v>44752.159999999938</v>
      </c>
      <c r="O17" s="48"/>
      <c r="P17" s="101">
        <f>SUM(P18:P23)</f>
        <v>888014</v>
      </c>
      <c r="Q17" s="101">
        <f t="shared" ref="Q17:R17" si="7">SUM(Q18:Q23)</f>
        <v>845577.83000000007</v>
      </c>
      <c r="R17" s="67">
        <f t="shared" si="7"/>
        <v>42436.169999999918</v>
      </c>
      <c r="U17" s="1" t="s">
        <v>127</v>
      </c>
      <c r="V17" s="153">
        <f>F24+L24</f>
        <v>132100</v>
      </c>
      <c r="W17" s="1">
        <f>V17/V16</f>
        <v>0.1294953309139959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213903</v>
      </c>
      <c r="G18" s="58">
        <f>34411.84+200793.17</f>
        <v>235205.01</v>
      </c>
      <c r="H18" s="59">
        <f t="shared" ref="H18:H23" si="8">F18-G18</f>
        <v>-21302.010000000009</v>
      </c>
      <c r="I18" s="60"/>
      <c r="J18" s="61"/>
      <c r="K18" s="62">
        <f t="shared" ref="K18:K23" si="9">I18-J18</f>
        <v>0</v>
      </c>
      <c r="L18" s="63">
        <f>366401+12679-2153</f>
        <v>376927</v>
      </c>
      <c r="M18" s="61">
        <f>58693.53+289965.03</f>
        <v>348658.56000000006</v>
      </c>
      <c r="N18" s="62">
        <f t="shared" ref="N18:N23" si="10">L18-M18</f>
        <v>28268.439999999944</v>
      </c>
      <c r="O18" s="37"/>
      <c r="P18" s="64">
        <f t="shared" ref="P18:P23" si="11">F18+I18+L18</f>
        <v>590830</v>
      </c>
      <c r="Q18" s="64">
        <f>G18+J18+M18</f>
        <v>583863.57000000007</v>
      </c>
      <c r="R18" s="64">
        <f t="shared" ref="R18:R23" si="12">P18-Q18</f>
        <v>6966.4299999999348</v>
      </c>
      <c r="U18" s="1" t="s">
        <v>128</v>
      </c>
      <c r="V18" s="153">
        <f>G24+M24</f>
        <v>99407.05</v>
      </c>
      <c r="W18" s="1">
        <f>V18/V16</f>
        <v>9.7447001021454469E-2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99725</v>
      </c>
      <c r="G19" s="58">
        <f>11235.16+14985+59517.53</f>
        <v>85737.69</v>
      </c>
      <c r="H19" s="59">
        <f t="shared" si="8"/>
        <v>13987.309999999998</v>
      </c>
      <c r="I19" s="60"/>
      <c r="J19" s="61"/>
      <c r="K19" s="62">
        <f t="shared" si="9"/>
        <v>0</v>
      </c>
      <c r="L19" s="63">
        <v>125000</v>
      </c>
      <c r="M19" s="61">
        <f>24017.47+92330.55</f>
        <v>116348.02</v>
      </c>
      <c r="N19" s="62">
        <f t="shared" si="10"/>
        <v>8651.9799999999959</v>
      </c>
      <c r="O19" s="37"/>
      <c r="P19" s="64">
        <f t="shared" si="11"/>
        <v>224725</v>
      </c>
      <c r="Q19" s="64">
        <f>G19+J19+M19</f>
        <v>202085.71000000002</v>
      </c>
      <c r="R19" s="64">
        <f t="shared" si="12"/>
        <v>22639.289999999979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26069</v>
      </c>
      <c r="G20" s="58">
        <f>21070.29</f>
        <v>21070.29</v>
      </c>
      <c r="H20" s="59">
        <f t="shared" si="8"/>
        <v>4998.7099999999991</v>
      </c>
      <c r="I20" s="60"/>
      <c r="J20" s="61"/>
      <c r="K20" s="62">
        <f t="shared" si="9"/>
        <v>0</v>
      </c>
      <c r="L20" s="63">
        <v>39840</v>
      </c>
      <c r="M20" s="61">
        <f>32008.52</f>
        <v>32008.52</v>
      </c>
      <c r="N20" s="62">
        <f t="shared" si="10"/>
        <v>7831.48</v>
      </c>
      <c r="O20" s="37"/>
      <c r="P20" s="64">
        <f t="shared" si="11"/>
        <v>65909</v>
      </c>
      <c r="Q20" s="64">
        <f>G20+J20+M20</f>
        <v>53078.81</v>
      </c>
      <c r="R20" s="64">
        <f t="shared" si="12"/>
        <v>12830.190000000002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>
        <v>6550</v>
      </c>
      <c r="M23" s="77">
        <v>6549.74</v>
      </c>
      <c r="N23" s="78">
        <f t="shared" si="10"/>
        <v>0.26000000000021828</v>
      </c>
      <c r="O23" s="37"/>
      <c r="P23" s="64">
        <f t="shared" si="11"/>
        <v>6550</v>
      </c>
      <c r="Q23" s="64">
        <f>G23+J23+M23</f>
        <v>6549.74</v>
      </c>
      <c r="R23" s="64">
        <f t="shared" si="12"/>
        <v>0.26000000000021828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79947</v>
      </c>
      <c r="G24" s="66">
        <f>SUM(G25:G32)</f>
        <v>55315.360000000001</v>
      </c>
      <c r="H24" s="67">
        <f>SUM(H25:H32)</f>
        <v>24631.64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52153</v>
      </c>
      <c r="M24" s="66">
        <f t="shared" ref="M24:N24" si="15">SUM(M25:M32)</f>
        <v>44091.69</v>
      </c>
      <c r="N24" s="67">
        <f t="shared" si="15"/>
        <v>8061.3100000000013</v>
      </c>
      <c r="O24" s="48"/>
      <c r="P24" s="101">
        <f>SUM(P25:P32)</f>
        <v>132100</v>
      </c>
      <c r="Q24" s="101">
        <f t="shared" ref="Q24:R24" si="16">SUM(Q25:Q32)</f>
        <v>99407.05</v>
      </c>
      <c r="R24" s="67">
        <f t="shared" si="16"/>
        <v>32692.949999999997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35000</v>
      </c>
      <c r="G25" s="58">
        <f>4500+30621</f>
        <v>35121</v>
      </c>
      <c r="H25" s="59">
        <f>F25-G25</f>
        <v>-121</v>
      </c>
      <c r="I25" s="60"/>
      <c r="J25" s="61"/>
      <c r="K25" s="62">
        <f>I25-J25</f>
        <v>0</v>
      </c>
      <c r="L25" s="63">
        <v>26940</v>
      </c>
      <c r="M25" s="61">
        <v>26940</v>
      </c>
      <c r="N25" s="62">
        <f>L25-M25</f>
        <v>0</v>
      </c>
      <c r="O25" s="37"/>
      <c r="P25" s="64">
        <f t="shared" ref="P25:Q43" si="17">F25+I25+L25</f>
        <v>61940</v>
      </c>
      <c r="Q25" s="64">
        <f>G25+J25+M25</f>
        <v>62061</v>
      </c>
      <c r="R25" s="64">
        <f>P25-Q25</f>
        <v>-121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44947</v>
      </c>
      <c r="G26" s="58">
        <f>1388+12576.7</f>
        <v>13964.7</v>
      </c>
      <c r="H26" s="59">
        <f>F26-G26</f>
        <v>30982.3</v>
      </c>
      <c r="I26" s="60"/>
      <c r="J26" s="61"/>
      <c r="K26" s="62">
        <f>I26-J26</f>
        <v>0</v>
      </c>
      <c r="L26" s="63">
        <f>25000-1940</f>
        <v>23060</v>
      </c>
      <c r="M26" s="61">
        <f>15688.96-690</f>
        <v>14998.96</v>
      </c>
      <c r="N26" s="62">
        <f>L26-M26</f>
        <v>8061.0400000000009</v>
      </c>
      <c r="O26" s="37"/>
      <c r="P26" s="64">
        <f t="shared" si="17"/>
        <v>68007</v>
      </c>
      <c r="Q26" s="64">
        <f>G26+J26+M26</f>
        <v>28963.66</v>
      </c>
      <c r="R26" s="64">
        <f>P26-Q26</f>
        <v>39043.339999999997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>
        <f>5019+1210.66</f>
        <v>6229.66</v>
      </c>
      <c r="H32" s="59">
        <f>F32-G32</f>
        <v>-6229.66</v>
      </c>
      <c r="I32" s="60"/>
      <c r="J32" s="61"/>
      <c r="K32" s="62">
        <f>I32-J32</f>
        <v>0</v>
      </c>
      <c r="L32" s="63">
        <v>2153</v>
      </c>
      <c r="M32" s="61">
        <f>250+1902.73</f>
        <v>2152.73</v>
      </c>
      <c r="N32" s="62">
        <f>L32-M32</f>
        <v>0.26999999999998181</v>
      </c>
      <c r="O32" s="37"/>
      <c r="P32" s="64">
        <f t="shared" si="17"/>
        <v>2153</v>
      </c>
      <c r="Q32" s="64">
        <f>G32+J32+M32</f>
        <v>8382.39</v>
      </c>
      <c r="R32" s="64">
        <f>P32-Q32</f>
        <v>-6229.3899999999994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395020</v>
      </c>
      <c r="J33" s="66">
        <f>SUM(J34:J43)</f>
        <v>372540.77</v>
      </c>
      <c r="K33" s="67">
        <f>SUM(K34:K43)</f>
        <v>22479.229999999985</v>
      </c>
      <c r="L33" s="66"/>
      <c r="M33" s="66"/>
      <c r="N33" s="67"/>
      <c r="O33" s="48"/>
      <c r="P33" s="101">
        <f>SUM(P34:P43)</f>
        <v>395020</v>
      </c>
      <c r="Q33" s="101">
        <f>SUM(Q34:Q43)</f>
        <v>372540.77</v>
      </c>
      <c r="R33" s="67">
        <f>SUM(R34:R43)</f>
        <v>22479.229999999985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59253</v>
      </c>
      <c r="J34" s="58">
        <v>54879.68</v>
      </c>
      <c r="K34" s="59">
        <f t="shared" ref="K34:K43" si="23">I34-J34</f>
        <v>4373.32</v>
      </c>
      <c r="L34" s="199"/>
      <c r="M34" s="189"/>
      <c r="N34" s="190"/>
      <c r="O34" s="37"/>
      <c r="P34" s="59">
        <f t="shared" si="17"/>
        <v>59253</v>
      </c>
      <c r="Q34" s="59">
        <f t="shared" si="17"/>
        <v>54879.68</v>
      </c>
      <c r="R34" s="59">
        <f t="shared" ref="R34:R43" si="24">P34-Q34</f>
        <v>4373.32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/>
      <c r="J35" s="58"/>
      <c r="K35" s="59">
        <f t="shared" si="23"/>
        <v>0</v>
      </c>
      <c r="L35" s="200"/>
      <c r="M35" s="192"/>
      <c r="N35" s="193"/>
      <c r="O35" s="37"/>
      <c r="P35" s="59">
        <f t="shared" si="17"/>
        <v>0</v>
      </c>
      <c r="Q35" s="59">
        <f t="shared" si="17"/>
        <v>0</v>
      </c>
      <c r="R35" s="59">
        <f t="shared" si="24"/>
        <v>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15000</v>
      </c>
      <c r="J36" s="58">
        <v>2551.33</v>
      </c>
      <c r="K36" s="59">
        <f t="shared" si="23"/>
        <v>12448.67</v>
      </c>
      <c r="L36" s="200"/>
      <c r="M36" s="192"/>
      <c r="N36" s="193"/>
      <c r="O36" s="37"/>
      <c r="P36" s="59">
        <f t="shared" si="17"/>
        <v>15000</v>
      </c>
      <c r="Q36" s="59">
        <f t="shared" si="17"/>
        <v>2551.33</v>
      </c>
      <c r="R36" s="59">
        <f t="shared" si="24"/>
        <v>12448.67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221012</v>
      </c>
      <c r="J37" s="58">
        <v>239340.89</v>
      </c>
      <c r="K37" s="59">
        <f t="shared" si="23"/>
        <v>-18328.890000000014</v>
      </c>
      <c r="L37" s="200"/>
      <c r="M37" s="192"/>
      <c r="N37" s="193"/>
      <c r="O37" s="37"/>
      <c r="P37" s="59">
        <f t="shared" si="17"/>
        <v>221012</v>
      </c>
      <c r="Q37" s="59">
        <f t="shared" si="17"/>
        <v>239340.89</v>
      </c>
      <c r="R37" s="59">
        <f t="shared" si="24"/>
        <v>-18328.890000000014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1000</v>
      </c>
      <c r="J38" s="58"/>
      <c r="K38" s="59">
        <f t="shared" si="23"/>
        <v>1000</v>
      </c>
      <c r="L38" s="200"/>
      <c r="M38" s="192"/>
      <c r="N38" s="193"/>
      <c r="O38" s="37"/>
      <c r="P38" s="59">
        <f t="shared" si="17"/>
        <v>1000</v>
      </c>
      <c r="Q38" s="59">
        <f t="shared" si="17"/>
        <v>0</v>
      </c>
      <c r="R38" s="59">
        <f t="shared" si="24"/>
        <v>1000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19751</v>
      </c>
      <c r="J39" s="58">
        <v>21586.76</v>
      </c>
      <c r="K39" s="59">
        <f t="shared" si="23"/>
        <v>-1835.7599999999984</v>
      </c>
      <c r="L39" s="200"/>
      <c r="M39" s="192"/>
      <c r="N39" s="193"/>
      <c r="O39" s="37"/>
      <c r="P39" s="59">
        <f t="shared" si="17"/>
        <v>19751</v>
      </c>
      <c r="Q39" s="59">
        <f t="shared" si="17"/>
        <v>21586.76</v>
      </c>
      <c r="R39" s="59">
        <f t="shared" si="24"/>
        <v>-1835.7599999999984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78504</v>
      </c>
      <c r="J42" s="74">
        <v>54182.11</v>
      </c>
      <c r="K42" s="75">
        <f t="shared" si="23"/>
        <v>24321.89</v>
      </c>
      <c r="L42" s="200"/>
      <c r="M42" s="192"/>
      <c r="N42" s="193"/>
      <c r="O42" s="37"/>
      <c r="P42" s="59">
        <f t="shared" si="17"/>
        <v>78504</v>
      </c>
      <c r="Q42" s="59">
        <f t="shared" si="17"/>
        <v>54182.11</v>
      </c>
      <c r="R42" s="59">
        <f t="shared" si="24"/>
        <v>24321.89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>
        <v>500</v>
      </c>
      <c r="J43" s="94"/>
      <c r="K43" s="95">
        <f t="shared" si="23"/>
        <v>500</v>
      </c>
      <c r="L43" s="201"/>
      <c r="M43" s="195"/>
      <c r="N43" s="196"/>
      <c r="O43" s="37"/>
      <c r="P43" s="95">
        <f t="shared" si="17"/>
        <v>500</v>
      </c>
      <c r="Q43" s="95">
        <f t="shared" si="17"/>
        <v>0</v>
      </c>
      <c r="R43" s="95">
        <f t="shared" si="24"/>
        <v>500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466271</v>
      </c>
      <c r="G44" s="106">
        <f t="shared" si="25"/>
        <v>442831.00999999995</v>
      </c>
      <c r="H44" s="106">
        <f t="shared" si="25"/>
        <v>23439.989999999991</v>
      </c>
      <c r="I44" s="105">
        <f t="shared" si="25"/>
        <v>438912</v>
      </c>
      <c r="J44" s="105">
        <f t="shared" si="25"/>
        <v>416431.77</v>
      </c>
      <c r="K44" s="105">
        <f t="shared" si="25"/>
        <v>22480.229999999981</v>
      </c>
      <c r="L44" s="105">
        <f t="shared" si="25"/>
        <v>667189</v>
      </c>
      <c r="M44" s="105">
        <f t="shared" si="25"/>
        <v>614375.53</v>
      </c>
      <c r="N44" s="105">
        <f t="shared" si="25"/>
        <v>52813.469999999928</v>
      </c>
      <c r="O44" s="37"/>
      <c r="P44" s="105">
        <f t="shared" ref="P44:R44" si="26">P14+P17+P24+P33</f>
        <v>1572372</v>
      </c>
      <c r="Q44" s="105">
        <f t="shared" si="26"/>
        <v>1473638.31</v>
      </c>
      <c r="R44" s="105">
        <f t="shared" si="26"/>
        <v>98733.6899999999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/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9"/>
      <c r="B55" s="209"/>
      <c r="C55" s="209"/>
      <c r="D55" s="209"/>
      <c r="E55" s="209"/>
      <c r="F55" s="209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ht="15" customHeight="1" x14ac:dyDescent="0.25">
      <c r="A59" s="150"/>
      <c r="B59" s="150"/>
      <c r="C59" s="150"/>
      <c r="D59" s="150"/>
      <c r="E59" s="150"/>
      <c r="F59" s="150"/>
    </row>
    <row r="60" spans="1:15" x14ac:dyDescent="0.25">
      <c r="A60" s="150"/>
      <c r="B60" s="150"/>
      <c r="C60" s="150"/>
      <c r="D60" s="150"/>
      <c r="E60" s="150"/>
      <c r="F60" s="150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3"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34:E34"/>
    <mergeCell ref="C35:E35"/>
    <mergeCell ref="C39:E39"/>
    <mergeCell ref="F34:H43"/>
    <mergeCell ref="C15:E15"/>
    <mergeCell ref="C18:E18"/>
    <mergeCell ref="C19:E19"/>
    <mergeCell ref="C20:E20"/>
    <mergeCell ref="C26:E26"/>
    <mergeCell ref="C22:E22"/>
    <mergeCell ref="C23:E23"/>
    <mergeCell ref="C25:E25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1406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16384" width="9.140625" style="1"/>
  </cols>
  <sheetData>
    <row r="1" spans="1:41" ht="21" x14ac:dyDescent="0.35">
      <c r="B1" s="2" t="s">
        <v>54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328954-892.58+F11+573.87</f>
        <v>466635.29</v>
      </c>
      <c r="G10" s="22">
        <f>G44</f>
        <v>0</v>
      </c>
      <c r="H10" s="23">
        <f>F10-G10</f>
        <v>466635.29</v>
      </c>
      <c r="I10" s="22">
        <v>345672</v>
      </c>
      <c r="J10" s="22">
        <f>J44</f>
        <v>0</v>
      </c>
      <c r="K10" s="23">
        <f>I10-J10</f>
        <v>345672</v>
      </c>
      <c r="L10" s="22">
        <f>667853-F11</f>
        <v>529853</v>
      </c>
      <c r="M10" s="22">
        <f>M44</f>
        <v>0</v>
      </c>
      <c r="N10" s="23">
        <f>L10-M10</f>
        <v>529853</v>
      </c>
      <c r="O10" s="24"/>
      <c r="P10" s="22">
        <f>F10+I10+L10</f>
        <v>1342160.29</v>
      </c>
      <c r="Q10" s="22">
        <f>Q41</f>
        <v>0</v>
      </c>
      <c r="R10" s="23">
        <f>P10-Q10</f>
        <v>1342160.29</v>
      </c>
    </row>
    <row r="11" spans="1:41" ht="15.75" thickTop="1" x14ac:dyDescent="0.25">
      <c r="E11" s="157" t="s">
        <v>133</v>
      </c>
      <c r="F11" s="159">
        <v>138000</v>
      </c>
      <c r="H11" s="6"/>
      <c r="K11" s="6"/>
      <c r="L11" s="159">
        <v>-138000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32895</v>
      </c>
      <c r="G14" s="32">
        <f>SUM(G15:G16)</f>
        <v>0</v>
      </c>
      <c r="H14" s="33">
        <f>SUM(H15:H16)</f>
        <v>32895</v>
      </c>
      <c r="I14" s="32">
        <f>SUM(I15:I16)</f>
        <v>34567</v>
      </c>
      <c r="J14" s="32">
        <f t="shared" ref="J14:K14" si="0">SUM(J15:J16)</f>
        <v>0</v>
      </c>
      <c r="K14" s="33">
        <f t="shared" si="0"/>
        <v>34567</v>
      </c>
      <c r="L14" s="32">
        <f>SUM(L15:L16)</f>
        <v>66785</v>
      </c>
      <c r="M14" s="32">
        <f t="shared" ref="M14:N14" si="1">SUM(M15:M16)</f>
        <v>0</v>
      </c>
      <c r="N14" s="33">
        <f t="shared" si="1"/>
        <v>66785</v>
      </c>
      <c r="O14" s="34"/>
      <c r="P14" s="99">
        <f>SUM(P15:P16)</f>
        <v>134247</v>
      </c>
      <c r="Q14" s="99">
        <f t="shared" ref="Q14:R14" si="2">SUM(Q15:Q16)</f>
        <v>0</v>
      </c>
      <c r="R14" s="33">
        <f t="shared" si="2"/>
        <v>134247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22939</v>
      </c>
      <c r="G15" s="58"/>
      <c r="H15" s="59">
        <f>F15-G15</f>
        <v>22939</v>
      </c>
      <c r="I15" s="60">
        <v>24006</v>
      </c>
      <c r="J15" s="61"/>
      <c r="K15" s="62">
        <f>I15-J15</f>
        <v>24006</v>
      </c>
      <c r="L15" s="63">
        <v>46572</v>
      </c>
      <c r="M15" s="61"/>
      <c r="N15" s="62">
        <f>L15-M15</f>
        <v>46572</v>
      </c>
      <c r="O15" s="37"/>
      <c r="P15" s="64">
        <f t="shared" ref="P15:P16" si="3">F15+I15+L15</f>
        <v>93517</v>
      </c>
      <c r="Q15" s="64">
        <f>G15+J15+M15</f>
        <v>0</v>
      </c>
      <c r="R15" s="64">
        <f>P15-Q15</f>
        <v>93517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9956</v>
      </c>
      <c r="G16" s="58"/>
      <c r="H16" s="59">
        <f>F16-G16</f>
        <v>9956</v>
      </c>
      <c r="I16" s="60">
        <v>10561</v>
      </c>
      <c r="J16" s="61"/>
      <c r="K16" s="62">
        <f>I16-J16</f>
        <v>10561</v>
      </c>
      <c r="L16" s="63">
        <v>20213</v>
      </c>
      <c r="M16" s="61"/>
      <c r="N16" s="62">
        <f>L16-M16</f>
        <v>20213</v>
      </c>
      <c r="O16" s="37"/>
      <c r="P16" s="64">
        <f t="shared" si="3"/>
        <v>40730</v>
      </c>
      <c r="Q16" s="64">
        <f>G16+J16+M16</f>
        <v>0</v>
      </c>
      <c r="R16" s="64">
        <f>P16-Q16</f>
        <v>40730</v>
      </c>
      <c r="U16" s="1" t="s">
        <v>126</v>
      </c>
      <c r="V16" s="153">
        <f>F17+F24+L17+L24</f>
        <v>897127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237569</v>
      </c>
      <c r="G17" s="66">
        <f>SUM(G18:G23)</f>
        <v>0</v>
      </c>
      <c r="H17" s="67">
        <f t="shared" ref="H17" si="4">SUM(H18:H23)</f>
        <v>237569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482324</v>
      </c>
      <c r="M17" s="66">
        <f>SUM(M18:M23)</f>
        <v>0</v>
      </c>
      <c r="N17" s="67">
        <f t="shared" ref="N17" si="6">SUM(N18:N23)</f>
        <v>482324</v>
      </c>
      <c r="O17" s="48"/>
      <c r="P17" s="101">
        <f>SUM(P18:P23)</f>
        <v>719893</v>
      </c>
      <c r="Q17" s="101">
        <f t="shared" ref="Q17:R17" si="7">SUM(Q18:Q23)</f>
        <v>0</v>
      </c>
      <c r="R17" s="67">
        <f t="shared" si="7"/>
        <v>719893</v>
      </c>
      <c r="U17" s="1" t="s">
        <v>127</v>
      </c>
      <c r="V17" s="153">
        <f>F24+L24</f>
        <v>177234</v>
      </c>
      <c r="W17" s="1">
        <f>V17/V16</f>
        <v>0.19755731351302547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153550</v>
      </c>
      <c r="G18" s="58"/>
      <c r="H18" s="59">
        <f t="shared" ref="H18:H23" si="8">F18-G18</f>
        <v>153550</v>
      </c>
      <c r="I18" s="60"/>
      <c r="J18" s="61"/>
      <c r="K18" s="62">
        <f t="shared" ref="K18:K23" si="9">I18-J18</f>
        <v>0</v>
      </c>
      <c r="L18" s="63">
        <v>316077</v>
      </c>
      <c r="M18" s="61"/>
      <c r="N18" s="62">
        <f t="shared" ref="N18:N23" si="10">L18-M18</f>
        <v>316077</v>
      </c>
      <c r="O18" s="37"/>
      <c r="P18" s="64">
        <f t="shared" ref="P18:P23" si="11">F18+I18+L18</f>
        <v>469627</v>
      </c>
      <c r="Q18" s="64">
        <f>G18+J18+M18</f>
        <v>0</v>
      </c>
      <c r="R18" s="64">
        <f t="shared" ref="R18:R23" si="12">P18-Q18</f>
        <v>469627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81969</v>
      </c>
      <c r="G19" s="58"/>
      <c r="H19" s="59">
        <f t="shared" si="8"/>
        <v>81969</v>
      </c>
      <c r="I19" s="60"/>
      <c r="J19" s="61"/>
      <c r="K19" s="62">
        <f t="shared" si="9"/>
        <v>0</v>
      </c>
      <c r="L19" s="63">
        <v>161847</v>
      </c>
      <c r="M19" s="61"/>
      <c r="N19" s="62">
        <f t="shared" si="10"/>
        <v>161847</v>
      </c>
      <c r="O19" s="37"/>
      <c r="P19" s="64">
        <f t="shared" si="11"/>
        <v>243816</v>
      </c>
      <c r="Q19" s="64">
        <f>G19+J19+M19</f>
        <v>0</v>
      </c>
      <c r="R19" s="64">
        <f t="shared" si="12"/>
        <v>243816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>
        <v>500</v>
      </c>
      <c r="G21" s="68"/>
      <c r="H21" s="69">
        <f t="shared" si="8"/>
        <v>500</v>
      </c>
      <c r="I21" s="60"/>
      <c r="J21" s="70"/>
      <c r="K21" s="71">
        <f t="shared" si="9"/>
        <v>0</v>
      </c>
      <c r="L21" s="72">
        <v>500</v>
      </c>
      <c r="M21" s="70"/>
      <c r="N21" s="62">
        <f t="shared" si="10"/>
        <v>500</v>
      </c>
      <c r="O21" s="37"/>
      <c r="P21" s="64">
        <f t="shared" si="11"/>
        <v>1000</v>
      </c>
      <c r="Q21" s="64">
        <f t="shared" ref="Q21:Q22" si="13">G21+J21+M21</f>
        <v>0</v>
      </c>
      <c r="R21" s="64">
        <f t="shared" si="12"/>
        <v>1000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1550</v>
      </c>
      <c r="G23" s="74"/>
      <c r="H23" s="75">
        <f t="shared" si="8"/>
        <v>1550</v>
      </c>
      <c r="I23" s="76"/>
      <c r="J23" s="77"/>
      <c r="K23" s="78">
        <f t="shared" si="9"/>
        <v>0</v>
      </c>
      <c r="L23" s="79">
        <v>3900</v>
      </c>
      <c r="M23" s="77"/>
      <c r="N23" s="78">
        <f t="shared" si="10"/>
        <v>3900</v>
      </c>
      <c r="O23" s="37"/>
      <c r="P23" s="64">
        <f t="shared" si="11"/>
        <v>5450</v>
      </c>
      <c r="Q23" s="64">
        <f>G23+J23+M23</f>
        <v>0</v>
      </c>
      <c r="R23" s="64">
        <f t="shared" si="12"/>
        <v>5450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58490</v>
      </c>
      <c r="G24" s="66">
        <f>SUM(G25:G32)</f>
        <v>0</v>
      </c>
      <c r="H24" s="67">
        <f>SUM(H25:H32)</f>
        <v>58490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118744</v>
      </c>
      <c r="M24" s="66">
        <f t="shared" ref="M24:N24" si="15">SUM(M25:M32)</f>
        <v>0</v>
      </c>
      <c r="N24" s="67">
        <f t="shared" si="15"/>
        <v>118744</v>
      </c>
      <c r="O24" s="48"/>
      <c r="P24" s="101">
        <f>SUM(P25:P32)</f>
        <v>177234</v>
      </c>
      <c r="Q24" s="101">
        <f t="shared" ref="Q24:R24" si="16">SUM(Q25:Q32)</f>
        <v>0</v>
      </c>
      <c r="R24" s="67">
        <f t="shared" si="16"/>
        <v>177234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50231</v>
      </c>
      <c r="G25" s="58"/>
      <c r="H25" s="59">
        <f>F25-G25</f>
        <v>50231</v>
      </c>
      <c r="I25" s="60"/>
      <c r="J25" s="61"/>
      <c r="K25" s="62">
        <f>I25-J25</f>
        <v>0</v>
      </c>
      <c r="L25" s="63">
        <v>105920</v>
      </c>
      <c r="M25" s="61"/>
      <c r="N25" s="62">
        <f>L25-M25</f>
        <v>105920</v>
      </c>
      <c r="O25" s="37"/>
      <c r="P25" s="64">
        <f t="shared" ref="P25:Q43" si="17">F25+I25+L25</f>
        <v>156151</v>
      </c>
      <c r="Q25" s="64">
        <f>G25+J25+M25</f>
        <v>0</v>
      </c>
      <c r="R25" s="64">
        <f>P25-Q25</f>
        <v>156151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8259</v>
      </c>
      <c r="G26" s="58"/>
      <c r="H26" s="59">
        <f>F26-G26</f>
        <v>8259</v>
      </c>
      <c r="I26" s="60"/>
      <c r="J26" s="61"/>
      <c r="K26" s="62">
        <f>I26-J26</f>
        <v>0</v>
      </c>
      <c r="L26" s="63">
        <v>12824</v>
      </c>
      <c r="M26" s="61"/>
      <c r="N26" s="62">
        <f>L26-M26</f>
        <v>12824</v>
      </c>
      <c r="O26" s="37"/>
      <c r="P26" s="64">
        <f t="shared" si="17"/>
        <v>21083</v>
      </c>
      <c r="Q26" s="64">
        <f>G26+J26+M26</f>
        <v>0</v>
      </c>
      <c r="R26" s="64">
        <f>P26-Q26</f>
        <v>21083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311105</v>
      </c>
      <c r="J33" s="66">
        <f>SUM(J34:J43)</f>
        <v>0</v>
      </c>
      <c r="K33" s="67">
        <f>SUM(K34:K43)</f>
        <v>311105</v>
      </c>
      <c r="L33" s="66"/>
      <c r="M33" s="66"/>
      <c r="N33" s="67"/>
      <c r="O33" s="48"/>
      <c r="P33" s="101">
        <f>SUM(P34:P43)</f>
        <v>311105</v>
      </c>
      <c r="Q33" s="101">
        <f>SUM(Q34:Q43)</f>
        <v>0</v>
      </c>
      <c r="R33" s="67">
        <f>SUM(R34:R43)</f>
        <v>311105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17654</v>
      </c>
      <c r="J34" s="58"/>
      <c r="K34" s="59">
        <f t="shared" ref="K34:K43" si="23">I34-J34</f>
        <v>17654</v>
      </c>
      <c r="L34" s="199"/>
      <c r="M34" s="189"/>
      <c r="N34" s="190"/>
      <c r="O34" s="37"/>
      <c r="P34" s="59">
        <f t="shared" si="17"/>
        <v>17654</v>
      </c>
      <c r="Q34" s="59">
        <f t="shared" si="17"/>
        <v>0</v>
      </c>
      <c r="R34" s="59">
        <f t="shared" ref="R34:R43" si="24">P34-Q34</f>
        <v>17654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64615</v>
      </c>
      <c r="J35" s="58"/>
      <c r="K35" s="59">
        <f t="shared" si="23"/>
        <v>64615</v>
      </c>
      <c r="L35" s="200"/>
      <c r="M35" s="192"/>
      <c r="N35" s="193"/>
      <c r="O35" s="37"/>
      <c r="P35" s="59">
        <f t="shared" si="17"/>
        <v>64615</v>
      </c>
      <c r="Q35" s="59">
        <f t="shared" si="17"/>
        <v>0</v>
      </c>
      <c r="R35" s="59">
        <f t="shared" si="24"/>
        <v>64615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6190</v>
      </c>
      <c r="J36" s="58"/>
      <c r="K36" s="59">
        <f t="shared" si="23"/>
        <v>6190</v>
      </c>
      <c r="L36" s="200"/>
      <c r="M36" s="192"/>
      <c r="N36" s="193"/>
      <c r="O36" s="37"/>
      <c r="P36" s="59">
        <f t="shared" si="17"/>
        <v>6190</v>
      </c>
      <c r="Q36" s="59">
        <f t="shared" si="17"/>
        <v>0</v>
      </c>
      <c r="R36" s="59">
        <f t="shared" si="24"/>
        <v>6190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150519</v>
      </c>
      <c r="J37" s="58"/>
      <c r="K37" s="59">
        <f t="shared" si="23"/>
        <v>150519</v>
      </c>
      <c r="L37" s="200"/>
      <c r="M37" s="192"/>
      <c r="N37" s="193"/>
      <c r="O37" s="37"/>
      <c r="P37" s="59">
        <f t="shared" si="17"/>
        <v>150519</v>
      </c>
      <c r="Q37" s="59">
        <f t="shared" si="17"/>
        <v>0</v>
      </c>
      <c r="R37" s="59">
        <f t="shared" si="24"/>
        <v>150519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1310</v>
      </c>
      <c r="J38" s="58"/>
      <c r="K38" s="59">
        <f t="shared" si="23"/>
        <v>1310</v>
      </c>
      <c r="L38" s="200"/>
      <c r="M38" s="192"/>
      <c r="N38" s="193"/>
      <c r="O38" s="37"/>
      <c r="P38" s="59">
        <f t="shared" si="17"/>
        <v>1310</v>
      </c>
      <c r="Q38" s="59">
        <f t="shared" si="17"/>
        <v>0</v>
      </c>
      <c r="R38" s="59">
        <f t="shared" si="24"/>
        <v>1310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7448</v>
      </c>
      <c r="J39" s="58"/>
      <c r="K39" s="59">
        <f t="shared" si="23"/>
        <v>7448</v>
      </c>
      <c r="L39" s="200"/>
      <c r="M39" s="192"/>
      <c r="N39" s="193"/>
      <c r="O39" s="37"/>
      <c r="P39" s="59">
        <f t="shared" si="17"/>
        <v>7448</v>
      </c>
      <c r="Q39" s="59">
        <f t="shared" si="17"/>
        <v>0</v>
      </c>
      <c r="R39" s="59">
        <f t="shared" si="24"/>
        <v>7448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11344</v>
      </c>
      <c r="J40" s="58"/>
      <c r="K40" s="59">
        <f t="shared" si="23"/>
        <v>11344</v>
      </c>
      <c r="L40" s="200"/>
      <c r="M40" s="192"/>
      <c r="N40" s="193"/>
      <c r="O40" s="37"/>
      <c r="P40" s="59">
        <f t="shared" si="17"/>
        <v>11344</v>
      </c>
      <c r="Q40" s="59">
        <f t="shared" si="17"/>
        <v>0</v>
      </c>
      <c r="R40" s="59">
        <f t="shared" si="24"/>
        <v>11344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1160</v>
      </c>
      <c r="J41" s="58"/>
      <c r="K41" s="59">
        <f t="shared" si="23"/>
        <v>1160</v>
      </c>
      <c r="L41" s="200"/>
      <c r="M41" s="192"/>
      <c r="N41" s="193"/>
      <c r="O41" s="37"/>
      <c r="P41" s="59">
        <f t="shared" si="17"/>
        <v>1160</v>
      </c>
      <c r="Q41" s="59">
        <f t="shared" si="17"/>
        <v>0</v>
      </c>
      <c r="R41" s="59">
        <f t="shared" si="24"/>
        <v>1160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50375</v>
      </c>
      <c r="J42" s="74"/>
      <c r="K42" s="75">
        <f t="shared" si="23"/>
        <v>50375</v>
      </c>
      <c r="L42" s="200"/>
      <c r="M42" s="192"/>
      <c r="N42" s="193"/>
      <c r="O42" s="37"/>
      <c r="P42" s="59">
        <f t="shared" si="17"/>
        <v>50375</v>
      </c>
      <c r="Q42" s="59">
        <f t="shared" si="17"/>
        <v>0</v>
      </c>
      <c r="R42" s="59">
        <f t="shared" si="24"/>
        <v>50375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>
        <v>490</v>
      </c>
      <c r="J43" s="94"/>
      <c r="K43" s="95">
        <f t="shared" si="23"/>
        <v>490</v>
      </c>
      <c r="L43" s="201"/>
      <c r="M43" s="195"/>
      <c r="N43" s="196"/>
      <c r="O43" s="37"/>
      <c r="P43" s="95">
        <f t="shared" si="17"/>
        <v>490</v>
      </c>
      <c r="Q43" s="95">
        <f t="shared" si="17"/>
        <v>0</v>
      </c>
      <c r="R43" s="95">
        <f t="shared" si="24"/>
        <v>490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328954</v>
      </c>
      <c r="G44" s="106">
        <f t="shared" si="25"/>
        <v>0</v>
      </c>
      <c r="H44" s="106">
        <f t="shared" si="25"/>
        <v>328954</v>
      </c>
      <c r="I44" s="105">
        <f t="shared" si="25"/>
        <v>345672</v>
      </c>
      <c r="J44" s="105">
        <f t="shared" si="25"/>
        <v>0</v>
      </c>
      <c r="K44" s="105">
        <f t="shared" si="25"/>
        <v>345672</v>
      </c>
      <c r="L44" s="105">
        <f t="shared" si="25"/>
        <v>667853</v>
      </c>
      <c r="M44" s="105">
        <f t="shared" si="25"/>
        <v>0</v>
      </c>
      <c r="N44" s="105">
        <f t="shared" si="25"/>
        <v>667853</v>
      </c>
      <c r="O44" s="37"/>
      <c r="P44" s="105">
        <f t="shared" ref="P44:R44" si="26">P14+P17+P24+P33</f>
        <v>1342479</v>
      </c>
      <c r="Q44" s="105">
        <f t="shared" si="26"/>
        <v>0</v>
      </c>
      <c r="R44" s="105">
        <f t="shared" si="26"/>
        <v>1342479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85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203" t="s">
        <v>130</v>
      </c>
      <c r="B54" s="203"/>
      <c r="C54" s="203"/>
      <c r="D54" s="203"/>
      <c r="E54" s="203"/>
      <c r="F54" s="203"/>
    </row>
    <row r="55" spans="1:15" x14ac:dyDescent="0.25">
      <c r="A55" s="203" t="s">
        <v>150</v>
      </c>
      <c r="B55" s="203"/>
      <c r="C55" s="203"/>
      <c r="D55" s="203"/>
      <c r="E55" s="203"/>
      <c r="F55" s="203"/>
    </row>
    <row r="56" spans="1:15" x14ac:dyDescent="0.25">
      <c r="A56" s="203" t="s">
        <v>151</v>
      </c>
      <c r="B56" s="203"/>
      <c r="C56" s="203"/>
      <c r="D56" s="203"/>
      <c r="E56" s="203"/>
      <c r="F56" s="203"/>
    </row>
    <row r="57" spans="1:15" x14ac:dyDescent="0.25">
      <c r="A57" s="203" t="s">
        <v>152</v>
      </c>
      <c r="B57" s="203"/>
      <c r="C57" s="203"/>
      <c r="D57" s="203"/>
      <c r="E57" s="203"/>
      <c r="F57" s="203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6:F56"/>
    <mergeCell ref="A57:F57"/>
    <mergeCell ref="A47:F47"/>
    <mergeCell ref="C40:E40"/>
    <mergeCell ref="A55:F55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61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80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760970-3</f>
        <v>760967</v>
      </c>
      <c r="G10" s="22">
        <f>G44</f>
        <v>0</v>
      </c>
      <c r="H10" s="23">
        <f>F10-G10</f>
        <v>760967</v>
      </c>
      <c r="I10" s="22">
        <v>820637</v>
      </c>
      <c r="J10" s="22">
        <f>J44</f>
        <v>0</v>
      </c>
      <c r="K10" s="23">
        <f>I10-J10</f>
        <v>820637</v>
      </c>
      <c r="L10" s="22">
        <f>822783-1947+1596.96</f>
        <v>822432.96</v>
      </c>
      <c r="M10" s="22">
        <f>M44</f>
        <v>0</v>
      </c>
      <c r="N10" s="23">
        <f>L10-M10</f>
        <v>822432.96</v>
      </c>
      <c r="O10" s="24"/>
      <c r="P10" s="22">
        <f>F10+I10+L10</f>
        <v>2404036.96</v>
      </c>
      <c r="Q10" s="22">
        <f>Q41</f>
        <v>0</v>
      </c>
      <c r="R10" s="23">
        <f>P10-Q10</f>
        <v>2404036.96</v>
      </c>
    </row>
    <row r="11" spans="1:41" ht="15.75" thickTop="1" x14ac:dyDescent="0.25">
      <c r="B11" s="134" t="s">
        <v>106</v>
      </c>
      <c r="C11" s="134"/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76097</v>
      </c>
      <c r="G14" s="32">
        <f>SUM(G15:G16)</f>
        <v>0</v>
      </c>
      <c r="H14" s="33">
        <f>SUM(H15:H16)</f>
        <v>76097</v>
      </c>
      <c r="I14" s="32">
        <f>SUM(I15:I16)</f>
        <v>82063</v>
      </c>
      <c r="J14" s="32">
        <f t="shared" ref="J14:K14" si="0">SUM(J15:J16)</f>
        <v>0</v>
      </c>
      <c r="K14" s="33">
        <f t="shared" si="0"/>
        <v>82063</v>
      </c>
      <c r="L14" s="32">
        <f>SUM(L15:L16)</f>
        <v>82084</v>
      </c>
      <c r="M14" s="32">
        <f t="shared" ref="M14:N14" si="1">SUM(M15:M16)</f>
        <v>0</v>
      </c>
      <c r="N14" s="33">
        <f t="shared" si="1"/>
        <v>82084</v>
      </c>
      <c r="O14" s="34"/>
      <c r="P14" s="99">
        <f>SUM(P15:P16)</f>
        <v>240244</v>
      </c>
      <c r="Q14" s="99">
        <f t="shared" ref="Q14:R14" si="2">SUM(Q15:Q16)</f>
        <v>0</v>
      </c>
      <c r="R14" s="33">
        <f t="shared" si="2"/>
        <v>240244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56312</v>
      </c>
      <c r="G15" s="58"/>
      <c r="H15" s="59">
        <f>F15-G15</f>
        <v>56312</v>
      </c>
      <c r="I15" s="60">
        <v>60663</v>
      </c>
      <c r="J15" s="61"/>
      <c r="K15" s="62">
        <f>I15-J15</f>
        <v>60663</v>
      </c>
      <c r="L15" s="63">
        <v>60778</v>
      </c>
      <c r="M15" s="61"/>
      <c r="N15" s="62">
        <f>L15-M15</f>
        <v>60778</v>
      </c>
      <c r="O15" s="37"/>
      <c r="P15" s="64">
        <f t="shared" ref="P15:P16" si="3">F15+I15+L15</f>
        <v>177753</v>
      </c>
      <c r="Q15" s="64">
        <f>G15+J15+M15</f>
        <v>0</v>
      </c>
      <c r="R15" s="64">
        <f>P15-Q15</f>
        <v>177753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19785</v>
      </c>
      <c r="G16" s="58"/>
      <c r="H16" s="59">
        <f>F16-G16</f>
        <v>19785</v>
      </c>
      <c r="I16" s="60">
        <v>21400</v>
      </c>
      <c r="J16" s="61"/>
      <c r="K16" s="62">
        <f>I16-J16</f>
        <v>21400</v>
      </c>
      <c r="L16" s="63">
        <v>21306</v>
      </c>
      <c r="M16" s="61"/>
      <c r="N16" s="62">
        <f>L16-M16</f>
        <v>21306</v>
      </c>
      <c r="O16" s="37"/>
      <c r="P16" s="64">
        <f t="shared" si="3"/>
        <v>62491</v>
      </c>
      <c r="Q16" s="64">
        <f>G16+J16+M16</f>
        <v>0</v>
      </c>
      <c r="R16" s="64">
        <f>P16-Q16</f>
        <v>62491</v>
      </c>
      <c r="U16" s="1" t="s">
        <v>126</v>
      </c>
      <c r="V16" s="153">
        <f>F17+F24+L17+L24</f>
        <v>1423622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380000</v>
      </c>
      <c r="G17" s="66">
        <f>SUM(G18:G23)</f>
        <v>0</v>
      </c>
      <c r="H17" s="67">
        <f t="shared" ref="H17" si="4">SUM(H18:H23)</f>
        <v>380000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443247</v>
      </c>
      <c r="M17" s="66">
        <f>SUM(M18:M23)</f>
        <v>0</v>
      </c>
      <c r="N17" s="67">
        <f t="shared" ref="N17" si="6">SUM(N18:N23)</f>
        <v>443247</v>
      </c>
      <c r="O17" s="48"/>
      <c r="P17" s="101">
        <f>SUM(P18:P23)</f>
        <v>823247</v>
      </c>
      <c r="Q17" s="101">
        <f t="shared" ref="Q17:R17" si="7">SUM(Q18:Q23)</f>
        <v>0</v>
      </c>
      <c r="R17" s="67">
        <f t="shared" si="7"/>
        <v>823247</v>
      </c>
      <c r="U17" s="1" t="s">
        <v>127</v>
      </c>
      <c r="V17" s="153">
        <f>F24+L24</f>
        <v>600375</v>
      </c>
      <c r="W17" s="1">
        <f>V17/V16</f>
        <v>0.42172360359702227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308000</v>
      </c>
      <c r="G18" s="58"/>
      <c r="H18" s="59">
        <f t="shared" ref="H18:H23" si="8">F18-G18</f>
        <v>308000</v>
      </c>
      <c r="I18" s="60"/>
      <c r="J18" s="61"/>
      <c r="K18" s="62">
        <f t="shared" ref="K18:K23" si="9">I18-J18</f>
        <v>0</v>
      </c>
      <c r="L18" s="63">
        <v>359497</v>
      </c>
      <c r="M18" s="61"/>
      <c r="N18" s="62">
        <f t="shared" ref="N18:N23" si="10">L18-M18</f>
        <v>359497</v>
      </c>
      <c r="O18" s="37"/>
      <c r="P18" s="64">
        <f t="shared" ref="P18:P23" si="11">F18+I18+L18</f>
        <v>667497</v>
      </c>
      <c r="Q18" s="64">
        <f>G18+J18+M18</f>
        <v>0</v>
      </c>
      <c r="R18" s="64">
        <f t="shared" ref="R18:R23" si="12">P18-Q18</f>
        <v>667497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64000</v>
      </c>
      <c r="G19" s="58"/>
      <c r="H19" s="59">
        <f t="shared" si="8"/>
        <v>64000</v>
      </c>
      <c r="I19" s="60"/>
      <c r="J19" s="61"/>
      <c r="K19" s="62">
        <f t="shared" si="9"/>
        <v>0</v>
      </c>
      <c r="L19" s="63">
        <v>63750</v>
      </c>
      <c r="M19" s="61"/>
      <c r="N19" s="62">
        <f t="shared" si="10"/>
        <v>63750</v>
      </c>
      <c r="O19" s="37"/>
      <c r="P19" s="64">
        <f t="shared" si="11"/>
        <v>127750</v>
      </c>
      <c r="Q19" s="64">
        <f>G19+J19+M19</f>
        <v>0</v>
      </c>
      <c r="R19" s="64">
        <f t="shared" si="12"/>
        <v>127750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8000</v>
      </c>
      <c r="G23" s="74"/>
      <c r="H23" s="75">
        <f t="shared" si="8"/>
        <v>8000</v>
      </c>
      <c r="I23" s="76"/>
      <c r="J23" s="77"/>
      <c r="K23" s="78">
        <f t="shared" si="9"/>
        <v>0</v>
      </c>
      <c r="L23" s="79">
        <v>20000</v>
      </c>
      <c r="M23" s="77"/>
      <c r="N23" s="78">
        <f t="shared" si="10"/>
        <v>20000</v>
      </c>
      <c r="O23" s="37"/>
      <c r="P23" s="64">
        <f t="shared" si="11"/>
        <v>28000</v>
      </c>
      <c r="Q23" s="64">
        <f>G23+J23+M23</f>
        <v>0</v>
      </c>
      <c r="R23" s="64">
        <f t="shared" si="12"/>
        <v>28000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304870</v>
      </c>
      <c r="G24" s="66">
        <f>SUM(G25:G32)</f>
        <v>0</v>
      </c>
      <c r="H24" s="67">
        <f>SUM(H25:H32)</f>
        <v>304870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295505</v>
      </c>
      <c r="M24" s="66">
        <f t="shared" ref="M24:N24" si="15">SUM(M25:M32)</f>
        <v>0</v>
      </c>
      <c r="N24" s="67">
        <f t="shared" si="15"/>
        <v>295505</v>
      </c>
      <c r="O24" s="48"/>
      <c r="P24" s="101">
        <f>SUM(P25:P32)</f>
        <v>600375</v>
      </c>
      <c r="Q24" s="101">
        <f t="shared" ref="Q24:R24" si="16">SUM(Q25:Q32)</f>
        <v>0</v>
      </c>
      <c r="R24" s="67">
        <f t="shared" si="16"/>
        <v>600375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249870</v>
      </c>
      <c r="G25" s="58"/>
      <c r="H25" s="59">
        <f>F25-G25</f>
        <v>249870</v>
      </c>
      <c r="I25" s="60"/>
      <c r="J25" s="61"/>
      <c r="K25" s="62">
        <f>I25-J25</f>
        <v>0</v>
      </c>
      <c r="L25" s="63">
        <v>275505</v>
      </c>
      <c r="M25" s="61"/>
      <c r="N25" s="62">
        <f>L25-M25</f>
        <v>275505</v>
      </c>
      <c r="O25" s="37"/>
      <c r="P25" s="64">
        <f t="shared" ref="P25:Q43" si="17">F25+I25+L25</f>
        <v>525375</v>
      </c>
      <c r="Q25" s="64">
        <f>G25+J25+M25</f>
        <v>0</v>
      </c>
      <c r="R25" s="64">
        <f>P25-Q25</f>
        <v>525375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10000</v>
      </c>
      <c r="G26" s="58"/>
      <c r="H26" s="59">
        <f>F26-G26</f>
        <v>10000</v>
      </c>
      <c r="I26" s="60"/>
      <c r="J26" s="61"/>
      <c r="K26" s="62">
        <f>I26-J26</f>
        <v>0</v>
      </c>
      <c r="L26" s="63">
        <v>20000</v>
      </c>
      <c r="M26" s="61"/>
      <c r="N26" s="62">
        <f>L26-M26</f>
        <v>20000</v>
      </c>
      <c r="O26" s="37"/>
      <c r="P26" s="64">
        <f t="shared" si="17"/>
        <v>30000</v>
      </c>
      <c r="Q26" s="64">
        <f>G26+J26+M26</f>
        <v>0</v>
      </c>
      <c r="R26" s="64">
        <f>P26-Q26</f>
        <v>30000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>
        <v>45000</v>
      </c>
      <c r="G32" s="58"/>
      <c r="H32" s="59">
        <f>F32-G32</f>
        <v>45000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45000</v>
      </c>
      <c r="Q32" s="64">
        <f>G32+J32+M32</f>
        <v>0</v>
      </c>
      <c r="R32" s="64">
        <f>P32-Q32</f>
        <v>45000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738574</v>
      </c>
      <c r="J33" s="66">
        <f>SUM(J34:J43)</f>
        <v>0</v>
      </c>
      <c r="K33" s="67">
        <f>SUM(K34:K43)</f>
        <v>738574</v>
      </c>
      <c r="L33" s="66"/>
      <c r="M33" s="66"/>
      <c r="N33" s="67"/>
      <c r="O33" s="48"/>
      <c r="P33" s="101">
        <f>SUM(P34:P43)</f>
        <v>738574</v>
      </c>
      <c r="Q33" s="101">
        <f>SUM(Q34:Q43)</f>
        <v>0</v>
      </c>
      <c r="R33" s="67">
        <f>SUM(R34:R43)</f>
        <v>738574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57000</v>
      </c>
      <c r="J34" s="58"/>
      <c r="K34" s="59">
        <f t="shared" ref="K34:K43" si="23">I34-J34</f>
        <v>57000</v>
      </c>
      <c r="L34" s="199"/>
      <c r="M34" s="189"/>
      <c r="N34" s="190"/>
      <c r="O34" s="37"/>
      <c r="P34" s="59">
        <f t="shared" si="17"/>
        <v>57000</v>
      </c>
      <c r="Q34" s="59">
        <f t="shared" si="17"/>
        <v>0</v>
      </c>
      <c r="R34" s="59">
        <f t="shared" ref="R34:R43" si="24">P34-Q34</f>
        <v>57000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16000</v>
      </c>
      <c r="J35" s="58"/>
      <c r="K35" s="59">
        <f t="shared" si="23"/>
        <v>16000</v>
      </c>
      <c r="L35" s="200"/>
      <c r="M35" s="192"/>
      <c r="N35" s="193"/>
      <c r="O35" s="37"/>
      <c r="P35" s="59">
        <f t="shared" si="17"/>
        <v>16000</v>
      </c>
      <c r="Q35" s="59">
        <f t="shared" si="17"/>
        <v>0</v>
      </c>
      <c r="R35" s="59">
        <f t="shared" si="24"/>
        <v>16000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237574</v>
      </c>
      <c r="J36" s="58"/>
      <c r="K36" s="59">
        <f t="shared" si="23"/>
        <v>237574</v>
      </c>
      <c r="L36" s="200"/>
      <c r="M36" s="192"/>
      <c r="N36" s="193"/>
      <c r="O36" s="37"/>
      <c r="P36" s="59">
        <f t="shared" si="17"/>
        <v>237574</v>
      </c>
      <c r="Q36" s="59">
        <f t="shared" si="17"/>
        <v>0</v>
      </c>
      <c r="R36" s="59">
        <f t="shared" si="24"/>
        <v>237574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265000</v>
      </c>
      <c r="J37" s="58"/>
      <c r="K37" s="59">
        <f t="shared" si="23"/>
        <v>265000</v>
      </c>
      <c r="L37" s="200"/>
      <c r="M37" s="192"/>
      <c r="N37" s="193"/>
      <c r="O37" s="37"/>
      <c r="P37" s="59">
        <f t="shared" si="17"/>
        <v>265000</v>
      </c>
      <c r="Q37" s="59">
        <f t="shared" si="17"/>
        <v>0</v>
      </c>
      <c r="R37" s="59">
        <f t="shared" si="24"/>
        <v>265000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39000</v>
      </c>
      <c r="J39" s="58"/>
      <c r="K39" s="59">
        <f t="shared" si="23"/>
        <v>39000</v>
      </c>
      <c r="L39" s="200"/>
      <c r="M39" s="192"/>
      <c r="N39" s="193"/>
      <c r="O39" s="37"/>
      <c r="P39" s="59">
        <f t="shared" si="17"/>
        <v>39000</v>
      </c>
      <c r="Q39" s="59">
        <f t="shared" si="17"/>
        <v>0</v>
      </c>
      <c r="R39" s="59">
        <f t="shared" si="24"/>
        <v>39000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36000</v>
      </c>
      <c r="J40" s="58"/>
      <c r="K40" s="59">
        <f t="shared" si="23"/>
        <v>36000</v>
      </c>
      <c r="L40" s="200"/>
      <c r="M40" s="192"/>
      <c r="N40" s="193"/>
      <c r="O40" s="37"/>
      <c r="P40" s="59">
        <f t="shared" si="17"/>
        <v>36000</v>
      </c>
      <c r="Q40" s="59">
        <f t="shared" si="17"/>
        <v>0</v>
      </c>
      <c r="R40" s="59">
        <f t="shared" si="24"/>
        <v>36000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20000</v>
      </c>
      <c r="J41" s="58"/>
      <c r="K41" s="59">
        <f t="shared" si="23"/>
        <v>20000</v>
      </c>
      <c r="L41" s="200"/>
      <c r="M41" s="192"/>
      <c r="N41" s="193"/>
      <c r="O41" s="37"/>
      <c r="P41" s="59">
        <f t="shared" si="17"/>
        <v>20000</v>
      </c>
      <c r="Q41" s="59">
        <f t="shared" si="17"/>
        <v>0</v>
      </c>
      <c r="R41" s="59">
        <f t="shared" si="24"/>
        <v>20000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68000</v>
      </c>
      <c r="J42" s="74"/>
      <c r="K42" s="75">
        <f t="shared" si="23"/>
        <v>68000</v>
      </c>
      <c r="L42" s="200"/>
      <c r="M42" s="192"/>
      <c r="N42" s="193"/>
      <c r="O42" s="37"/>
      <c r="P42" s="59">
        <f t="shared" si="17"/>
        <v>68000</v>
      </c>
      <c r="Q42" s="59">
        <f t="shared" si="17"/>
        <v>0</v>
      </c>
      <c r="R42" s="59">
        <f t="shared" si="24"/>
        <v>68000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760967</v>
      </c>
      <c r="G44" s="106">
        <f t="shared" si="25"/>
        <v>0</v>
      </c>
      <c r="H44" s="106">
        <f t="shared" si="25"/>
        <v>760967</v>
      </c>
      <c r="I44" s="105">
        <f t="shared" si="25"/>
        <v>820637</v>
      </c>
      <c r="J44" s="105">
        <f t="shared" si="25"/>
        <v>0</v>
      </c>
      <c r="K44" s="105">
        <f t="shared" si="25"/>
        <v>820637</v>
      </c>
      <c r="L44" s="105">
        <f t="shared" si="25"/>
        <v>820836</v>
      </c>
      <c r="M44" s="105">
        <f t="shared" si="25"/>
        <v>0</v>
      </c>
      <c r="N44" s="105">
        <f t="shared" si="25"/>
        <v>820836</v>
      </c>
      <c r="O44" s="37"/>
      <c r="P44" s="105">
        <f t="shared" ref="P44:R44" si="26">P14+P17+P24+P33</f>
        <v>2402440</v>
      </c>
      <c r="Q44" s="105">
        <f t="shared" si="26"/>
        <v>0</v>
      </c>
      <c r="R44" s="105">
        <f t="shared" si="26"/>
        <v>2402440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3" t="s">
        <v>84</v>
      </c>
      <c r="B55" s="203"/>
      <c r="C55" s="203"/>
      <c r="D55" s="203"/>
      <c r="E55" s="203"/>
      <c r="F55" s="203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203" t="s">
        <v>118</v>
      </c>
      <c r="B59" s="203"/>
      <c r="C59" s="203"/>
      <c r="D59" s="203"/>
      <c r="E59" s="203"/>
      <c r="F59" s="203"/>
    </row>
    <row r="60" spans="1:15" x14ac:dyDescent="0.25">
      <c r="A60" s="203" t="s">
        <v>153</v>
      </c>
      <c r="B60" s="203"/>
      <c r="C60" s="203"/>
      <c r="D60" s="203"/>
      <c r="E60" s="203"/>
      <c r="F60" s="203"/>
    </row>
    <row r="61" spans="1:15" x14ac:dyDescent="0.25">
      <c r="A61" s="203" t="s">
        <v>154</v>
      </c>
      <c r="B61" s="203"/>
      <c r="C61" s="203"/>
      <c r="D61" s="203"/>
      <c r="E61" s="203"/>
      <c r="F61" s="203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R2" sqref="R1:R104857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59:F59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A60:F60"/>
    <mergeCell ref="C34:E34"/>
    <mergeCell ref="C35:E35"/>
    <mergeCell ref="C39:E39"/>
    <mergeCell ref="F34:H43"/>
    <mergeCell ref="C15:E15"/>
    <mergeCell ref="C18:E18"/>
    <mergeCell ref="C19:E19"/>
    <mergeCell ref="C20:E20"/>
    <mergeCell ref="C26:E26"/>
    <mergeCell ref="C22:E22"/>
    <mergeCell ref="C23:E23"/>
    <mergeCell ref="C25:E25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38</v>
      </c>
      <c r="C1" s="87"/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v>1623120</v>
      </c>
      <c r="G10" s="22">
        <f>G44</f>
        <v>0</v>
      </c>
      <c r="H10" s="23">
        <f>F10-G10</f>
        <v>1623120</v>
      </c>
      <c r="I10" s="22">
        <v>1692526</v>
      </c>
      <c r="J10" s="22">
        <f>J44</f>
        <v>0</v>
      </c>
      <c r="K10" s="23">
        <f>I10-J10</f>
        <v>1692526</v>
      </c>
      <c r="L10" s="22">
        <f>1063836-9233+7494.16</f>
        <v>1062097.1599999999</v>
      </c>
      <c r="M10" s="22">
        <f>M44</f>
        <v>0</v>
      </c>
      <c r="N10" s="23">
        <f>L10-M10</f>
        <v>1062097.1599999999</v>
      </c>
      <c r="O10" s="24"/>
      <c r="P10" s="22">
        <f>F10+I10+L10</f>
        <v>4377743.16</v>
      </c>
      <c r="Q10" s="22">
        <f>Q41</f>
        <v>0</v>
      </c>
      <c r="R10" s="23">
        <f>P10-Q10</f>
        <v>4377743.16</v>
      </c>
    </row>
    <row r="11" spans="1:41" ht="15.75" thickTop="1" x14ac:dyDescent="0.25">
      <c r="B11" s="135"/>
      <c r="C11" s="135"/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162313</v>
      </c>
      <c r="G14" s="32">
        <f>SUM(G15:G16)</f>
        <v>0</v>
      </c>
      <c r="H14" s="33">
        <f>SUM(H15:H16)</f>
        <v>162313</v>
      </c>
      <c r="I14" s="32">
        <f>SUM(I15:I16)</f>
        <v>169253</v>
      </c>
      <c r="J14" s="32">
        <f t="shared" ref="J14:K14" si="0">SUM(J15:J16)</f>
        <v>0</v>
      </c>
      <c r="K14" s="33">
        <f t="shared" si="0"/>
        <v>169253</v>
      </c>
      <c r="L14" s="32">
        <f>SUM(L15:L16)</f>
        <v>106384</v>
      </c>
      <c r="M14" s="32">
        <f t="shared" ref="M14" si="1">SUM(M15:M16)</f>
        <v>0</v>
      </c>
      <c r="N14" s="33">
        <f>SUM(N15:N16)</f>
        <v>106384</v>
      </c>
      <c r="O14" s="34"/>
      <c r="P14" s="99">
        <f>SUM(P15:P16)</f>
        <v>437950</v>
      </c>
      <c r="Q14" s="99">
        <f t="shared" ref="Q14:R14" si="2">SUM(Q15:Q16)</f>
        <v>0</v>
      </c>
      <c r="R14" s="33">
        <f t="shared" si="2"/>
        <v>437950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129850</v>
      </c>
      <c r="G15" s="58"/>
      <c r="H15" s="59">
        <f>F15-G15</f>
        <v>129850</v>
      </c>
      <c r="I15" s="60">
        <v>135402</v>
      </c>
      <c r="J15" s="61"/>
      <c r="K15" s="62">
        <f>I15-J15</f>
        <v>135402</v>
      </c>
      <c r="L15" s="63">
        <v>85107</v>
      </c>
      <c r="M15" s="61"/>
      <c r="N15" s="62">
        <f>L15-M15</f>
        <v>85107</v>
      </c>
      <c r="O15" s="37"/>
      <c r="P15" s="64">
        <f>F15+I15+L15</f>
        <v>350359</v>
      </c>
      <c r="Q15" s="64">
        <f>G15+J15+M15</f>
        <v>0</v>
      </c>
      <c r="R15" s="64">
        <f>P15-Q15</f>
        <v>350359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32463</v>
      </c>
      <c r="G16" s="58"/>
      <c r="H16" s="59">
        <f>F16-G16</f>
        <v>32463</v>
      </c>
      <c r="I16" s="60">
        <v>33851</v>
      </c>
      <c r="J16" s="61"/>
      <c r="K16" s="62">
        <f>I16-J16</f>
        <v>33851</v>
      </c>
      <c r="L16" s="63">
        <v>21277</v>
      </c>
      <c r="M16" s="61"/>
      <c r="N16" s="62">
        <f>L16-M16</f>
        <v>21277</v>
      </c>
      <c r="O16" s="37"/>
      <c r="P16" s="64">
        <f>F16+I16+L16</f>
        <v>87591</v>
      </c>
      <c r="Q16" s="64">
        <f>G16+J16+M16</f>
        <v>0</v>
      </c>
      <c r="R16" s="64">
        <f>P16-Q16</f>
        <v>87591</v>
      </c>
      <c r="U16" s="1" t="s">
        <v>126</v>
      </c>
      <c r="V16" s="153">
        <f>F17+F24+L17+L24</f>
        <v>2418259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1163307</v>
      </c>
      <c r="G17" s="66">
        <f>SUM(G18:G23)</f>
        <v>0</v>
      </c>
      <c r="H17" s="67">
        <f t="shared" ref="H17" si="3">SUM(H18:H23)</f>
        <v>1163307</v>
      </c>
      <c r="I17" s="66">
        <f>SUM(I18:I23)</f>
        <v>0</v>
      </c>
      <c r="J17" s="66">
        <f t="shared" ref="J17:K17" si="4">SUM(J18:J23)</f>
        <v>0</v>
      </c>
      <c r="K17" s="67">
        <f t="shared" si="4"/>
        <v>0</v>
      </c>
      <c r="L17" s="66">
        <f>SUM(L18:L23)</f>
        <v>790855</v>
      </c>
      <c r="M17" s="66">
        <f>SUM(M18:M23)</f>
        <v>0</v>
      </c>
      <c r="N17" s="67">
        <f>SUM(N18:N23)</f>
        <v>790855</v>
      </c>
      <c r="O17" s="48"/>
      <c r="P17" s="101">
        <f>SUM(P18:P23)</f>
        <v>1954162</v>
      </c>
      <c r="Q17" s="101">
        <f t="shared" ref="Q17:R17" si="5">SUM(Q18:Q23)</f>
        <v>0</v>
      </c>
      <c r="R17" s="67">
        <f t="shared" si="5"/>
        <v>1954162</v>
      </c>
      <c r="U17" s="1" t="s">
        <v>127</v>
      </c>
      <c r="V17" s="153">
        <f>F24+L24</f>
        <v>464097</v>
      </c>
      <c r="W17" s="1">
        <f>V17/V16</f>
        <v>0.19191368666466246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998141</v>
      </c>
      <c r="G18" s="58"/>
      <c r="H18" s="59">
        <f t="shared" ref="H18:H23" si="6">F18-G18</f>
        <v>998141</v>
      </c>
      <c r="I18" s="60"/>
      <c r="J18" s="61"/>
      <c r="K18" s="62">
        <f t="shared" ref="K18:K23" si="7">I18-J18</f>
        <v>0</v>
      </c>
      <c r="L18" s="63">
        <v>666387</v>
      </c>
      <c r="M18" s="61"/>
      <c r="N18" s="62">
        <f t="shared" ref="N18:N23" si="8">L18-M18</f>
        <v>666387</v>
      </c>
      <c r="O18" s="37"/>
      <c r="P18" s="64">
        <f t="shared" ref="P18:Q23" si="9">F18+I18+L18</f>
        <v>1664528</v>
      </c>
      <c r="Q18" s="64">
        <f t="shared" si="9"/>
        <v>0</v>
      </c>
      <c r="R18" s="64">
        <f t="shared" ref="R18:R23" si="10">P18-Q18</f>
        <v>1664528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65999</v>
      </c>
      <c r="G19" s="58"/>
      <c r="H19" s="59">
        <f t="shared" si="6"/>
        <v>65999</v>
      </c>
      <c r="I19" s="60"/>
      <c r="J19" s="61"/>
      <c r="K19" s="62">
        <f t="shared" si="7"/>
        <v>0</v>
      </c>
      <c r="L19" s="63">
        <v>68936</v>
      </c>
      <c r="M19" s="61"/>
      <c r="N19" s="62">
        <f t="shared" si="8"/>
        <v>68936</v>
      </c>
      <c r="O19" s="37"/>
      <c r="P19" s="64">
        <f t="shared" si="9"/>
        <v>134935</v>
      </c>
      <c r="Q19" s="64">
        <f t="shared" si="9"/>
        <v>0</v>
      </c>
      <c r="R19" s="64">
        <f t="shared" si="10"/>
        <v>134935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95747</v>
      </c>
      <c r="G20" s="58"/>
      <c r="H20" s="59">
        <f t="shared" si="6"/>
        <v>95747</v>
      </c>
      <c r="I20" s="60"/>
      <c r="J20" s="61"/>
      <c r="K20" s="62">
        <f t="shared" si="7"/>
        <v>0</v>
      </c>
      <c r="L20" s="63">
        <v>53617</v>
      </c>
      <c r="M20" s="61"/>
      <c r="N20" s="62">
        <f t="shared" si="8"/>
        <v>53617</v>
      </c>
      <c r="O20" s="37"/>
      <c r="P20" s="64">
        <f t="shared" si="9"/>
        <v>149364</v>
      </c>
      <c r="Q20" s="64">
        <f t="shared" si="9"/>
        <v>0</v>
      </c>
      <c r="R20" s="64">
        <f t="shared" si="10"/>
        <v>149364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6"/>
        <v>0</v>
      </c>
      <c r="I21" s="60"/>
      <c r="J21" s="70"/>
      <c r="K21" s="71">
        <f t="shared" si="7"/>
        <v>0</v>
      </c>
      <c r="L21" s="72"/>
      <c r="M21" s="70"/>
      <c r="N21" s="62">
        <f t="shared" si="8"/>
        <v>0</v>
      </c>
      <c r="O21" s="37"/>
      <c r="P21" s="64">
        <f t="shared" si="9"/>
        <v>0</v>
      </c>
      <c r="Q21" s="64">
        <f t="shared" si="9"/>
        <v>0</v>
      </c>
      <c r="R21" s="64">
        <f t="shared" si="10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6"/>
        <v>0</v>
      </c>
      <c r="I22" s="60"/>
      <c r="J22" s="70"/>
      <c r="K22" s="71">
        <f t="shared" si="7"/>
        <v>0</v>
      </c>
      <c r="L22" s="72"/>
      <c r="M22" s="70"/>
      <c r="N22" s="71">
        <f t="shared" si="8"/>
        <v>0</v>
      </c>
      <c r="O22" s="37"/>
      <c r="P22" s="73">
        <f t="shared" si="9"/>
        <v>0</v>
      </c>
      <c r="Q22" s="64">
        <f t="shared" si="9"/>
        <v>0</v>
      </c>
      <c r="R22" s="73">
        <f t="shared" si="10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3420</v>
      </c>
      <c r="G23" s="74"/>
      <c r="H23" s="75">
        <f t="shared" si="6"/>
        <v>3420</v>
      </c>
      <c r="I23" s="76"/>
      <c r="J23" s="77"/>
      <c r="K23" s="78">
        <f t="shared" si="7"/>
        <v>0</v>
      </c>
      <c r="L23" s="79">
        <v>1915</v>
      </c>
      <c r="M23" s="77"/>
      <c r="N23" s="78">
        <f t="shared" si="8"/>
        <v>1915</v>
      </c>
      <c r="O23" s="37"/>
      <c r="P23" s="64">
        <f t="shared" si="9"/>
        <v>5335</v>
      </c>
      <c r="Q23" s="64">
        <f t="shared" si="9"/>
        <v>0</v>
      </c>
      <c r="R23" s="64">
        <f t="shared" si="10"/>
        <v>5335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297500</v>
      </c>
      <c r="G24" s="66">
        <f>SUM(G25:G32)</f>
        <v>0</v>
      </c>
      <c r="H24" s="67">
        <f>SUM(H25:H32)</f>
        <v>297500</v>
      </c>
      <c r="I24" s="66">
        <f>SUM(I25:I32)</f>
        <v>0</v>
      </c>
      <c r="J24" s="66">
        <f t="shared" ref="J24" si="11">SUM(J25:J32)</f>
        <v>0</v>
      </c>
      <c r="K24" s="67">
        <f>SUM(K25:K32)</f>
        <v>0</v>
      </c>
      <c r="L24" s="66">
        <f>SUM(L25:L32)</f>
        <v>166597</v>
      </c>
      <c r="M24" s="66">
        <f t="shared" ref="M24" si="12">SUM(M25:M32)</f>
        <v>0</v>
      </c>
      <c r="N24" s="67">
        <f>SUM(N25:N32)</f>
        <v>166597</v>
      </c>
      <c r="O24" s="48"/>
      <c r="P24" s="101">
        <f>SUM(P25:P32)</f>
        <v>464097</v>
      </c>
      <c r="Q24" s="101">
        <f t="shared" ref="Q24:R24" si="13">SUM(Q25:Q32)</f>
        <v>0</v>
      </c>
      <c r="R24" s="67">
        <f t="shared" si="13"/>
        <v>464097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218851</v>
      </c>
      <c r="G25" s="58"/>
      <c r="H25" s="59">
        <f>F25-G25</f>
        <v>218851</v>
      </c>
      <c r="I25" s="60"/>
      <c r="J25" s="61"/>
      <c r="K25" s="62">
        <f>I25-J25</f>
        <v>0</v>
      </c>
      <c r="L25" s="63">
        <v>122554</v>
      </c>
      <c r="M25" s="61"/>
      <c r="N25" s="62">
        <f>L25-M25</f>
        <v>122554</v>
      </c>
      <c r="O25" s="37"/>
      <c r="P25" s="64">
        <f>F25+I25+L25</f>
        <v>341405</v>
      </c>
      <c r="Q25" s="64">
        <f t="shared" ref="P25:Q40" si="14">G25+J25+M25</f>
        <v>0</v>
      </c>
      <c r="R25" s="64">
        <f>P25-Q25</f>
        <v>341405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78649</v>
      </c>
      <c r="G26" s="58"/>
      <c r="H26" s="59">
        <f>F26-G26</f>
        <v>78649</v>
      </c>
      <c r="I26" s="60"/>
      <c r="J26" s="61"/>
      <c r="K26" s="62">
        <f>I26-J26</f>
        <v>0</v>
      </c>
      <c r="L26" s="63">
        <v>44043</v>
      </c>
      <c r="M26" s="61"/>
      <c r="N26" s="62">
        <f>L26-M26</f>
        <v>44043</v>
      </c>
      <c r="O26" s="37"/>
      <c r="P26" s="64">
        <f t="shared" si="14"/>
        <v>122692</v>
      </c>
      <c r="Q26" s="64">
        <f t="shared" si="14"/>
        <v>0</v>
      </c>
      <c r="R26" s="64">
        <f>P26-Q26</f>
        <v>122692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4"/>
        <v>0</v>
      </c>
      <c r="Q27" s="64">
        <f t="shared" si="14"/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5">L28-M28</f>
        <v>0</v>
      </c>
      <c r="O28" s="37"/>
      <c r="P28" s="64">
        <f t="shared" si="14"/>
        <v>0</v>
      </c>
      <c r="Q28" s="64">
        <f t="shared" si="14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16">F29-G29</f>
        <v>0</v>
      </c>
      <c r="I29" s="60"/>
      <c r="J29" s="61"/>
      <c r="K29" s="62">
        <f t="shared" ref="K29:K31" si="17">I29-J29</f>
        <v>0</v>
      </c>
      <c r="L29" s="63"/>
      <c r="M29" s="61"/>
      <c r="N29" s="62">
        <f t="shared" si="15"/>
        <v>0</v>
      </c>
      <c r="O29" s="37"/>
      <c r="P29" s="64">
        <f t="shared" si="14"/>
        <v>0</v>
      </c>
      <c r="Q29" s="64">
        <f t="shared" si="14"/>
        <v>0</v>
      </c>
      <c r="R29" s="64">
        <f t="shared" ref="R29:R31" si="18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16"/>
        <v>0</v>
      </c>
      <c r="I30" s="60"/>
      <c r="J30" s="61"/>
      <c r="K30" s="62">
        <f>I30-J30</f>
        <v>0</v>
      </c>
      <c r="L30" s="63"/>
      <c r="M30" s="61"/>
      <c r="N30" s="62">
        <f t="shared" si="15"/>
        <v>0</v>
      </c>
      <c r="O30" s="37"/>
      <c r="P30" s="64">
        <f t="shared" si="14"/>
        <v>0</v>
      </c>
      <c r="Q30" s="64">
        <f t="shared" si="14"/>
        <v>0</v>
      </c>
      <c r="R30" s="64">
        <f t="shared" si="18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16"/>
        <v>0</v>
      </c>
      <c r="I31" s="60"/>
      <c r="J31" s="61"/>
      <c r="K31" s="62">
        <f t="shared" si="17"/>
        <v>0</v>
      </c>
      <c r="L31" s="63"/>
      <c r="M31" s="61"/>
      <c r="N31" s="62">
        <f t="shared" si="15"/>
        <v>0</v>
      </c>
      <c r="O31" s="37"/>
      <c r="P31" s="64">
        <f t="shared" si="14"/>
        <v>0</v>
      </c>
      <c r="Q31" s="64">
        <f t="shared" si="14"/>
        <v>0</v>
      </c>
      <c r="R31" s="64">
        <f t="shared" si="18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4"/>
        <v>0</v>
      </c>
      <c r="Q32" s="64">
        <f t="shared" si="14"/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1523273</v>
      </c>
      <c r="J33" s="66">
        <f>SUM(J34:J43)</f>
        <v>0</v>
      </c>
      <c r="K33" s="67">
        <f>SUM(K34:K43)</f>
        <v>1523273</v>
      </c>
      <c r="L33" s="66"/>
      <c r="M33" s="66"/>
      <c r="N33" s="67"/>
      <c r="O33" s="48"/>
      <c r="P33" s="101">
        <f>SUM(P34:P43)</f>
        <v>1523273</v>
      </c>
      <c r="Q33" s="101">
        <f>SUM(Q34:Q43)</f>
        <v>0</v>
      </c>
      <c r="R33" s="67">
        <f>SUM(R34:R43)</f>
        <v>1523273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273124</v>
      </c>
      <c r="J34" s="58"/>
      <c r="K34" s="59">
        <f t="shared" ref="K34:K43" si="19">I34-J34</f>
        <v>273124</v>
      </c>
      <c r="L34" s="199"/>
      <c r="M34" s="189"/>
      <c r="N34" s="190"/>
      <c r="O34" s="37"/>
      <c r="P34" s="59">
        <f t="shared" si="14"/>
        <v>273124</v>
      </c>
      <c r="Q34" s="59">
        <f t="shared" si="14"/>
        <v>0</v>
      </c>
      <c r="R34" s="59">
        <f t="shared" ref="R34:R43" si="20">P34-Q34</f>
        <v>273124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273124</v>
      </c>
      <c r="J35" s="58"/>
      <c r="K35" s="59">
        <f t="shared" si="19"/>
        <v>273124</v>
      </c>
      <c r="L35" s="200"/>
      <c r="M35" s="192"/>
      <c r="N35" s="193"/>
      <c r="O35" s="37"/>
      <c r="P35" s="59">
        <f t="shared" si="14"/>
        <v>273124</v>
      </c>
      <c r="Q35" s="59">
        <f t="shared" si="14"/>
        <v>0</v>
      </c>
      <c r="R35" s="59">
        <f t="shared" si="20"/>
        <v>273124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204842</v>
      </c>
      <c r="J36" s="58"/>
      <c r="K36" s="59">
        <f t="shared" si="19"/>
        <v>204842</v>
      </c>
      <c r="L36" s="200"/>
      <c r="M36" s="192"/>
      <c r="N36" s="193"/>
      <c r="O36" s="37"/>
      <c r="P36" s="59">
        <f t="shared" si="14"/>
        <v>204842</v>
      </c>
      <c r="Q36" s="59">
        <f t="shared" si="14"/>
        <v>0</v>
      </c>
      <c r="R36" s="59">
        <f t="shared" si="20"/>
        <v>204842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772183</v>
      </c>
      <c r="J37" s="58"/>
      <c r="K37" s="59">
        <f t="shared" si="19"/>
        <v>772183</v>
      </c>
      <c r="L37" s="200"/>
      <c r="M37" s="192"/>
      <c r="N37" s="193"/>
      <c r="O37" s="37"/>
      <c r="P37" s="59">
        <f t="shared" si="14"/>
        <v>772183</v>
      </c>
      <c r="Q37" s="59">
        <f t="shared" si="14"/>
        <v>0</v>
      </c>
      <c r="R37" s="59">
        <f t="shared" si="20"/>
        <v>772183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19"/>
        <v>0</v>
      </c>
      <c r="L38" s="200"/>
      <c r="M38" s="192"/>
      <c r="N38" s="193"/>
      <c r="O38" s="37"/>
      <c r="P38" s="59">
        <f t="shared" si="14"/>
        <v>0</v>
      </c>
      <c r="Q38" s="59">
        <f t="shared" si="14"/>
        <v>0</v>
      </c>
      <c r="R38" s="59">
        <f t="shared" si="20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19"/>
        <v>0</v>
      </c>
      <c r="L39" s="200"/>
      <c r="M39" s="192"/>
      <c r="N39" s="193"/>
      <c r="O39" s="37"/>
      <c r="P39" s="59">
        <f t="shared" si="14"/>
        <v>0</v>
      </c>
      <c r="Q39" s="59">
        <f t="shared" si="14"/>
        <v>0</v>
      </c>
      <c r="R39" s="59">
        <f t="shared" si="20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19"/>
        <v>0</v>
      </c>
      <c r="L40" s="200"/>
      <c r="M40" s="192"/>
      <c r="N40" s="193"/>
      <c r="O40" s="37"/>
      <c r="P40" s="59">
        <f t="shared" si="14"/>
        <v>0</v>
      </c>
      <c r="Q40" s="59">
        <f t="shared" si="14"/>
        <v>0</v>
      </c>
      <c r="R40" s="59">
        <f t="shared" si="20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19"/>
        <v>0</v>
      </c>
      <c r="L41" s="200"/>
      <c r="M41" s="192"/>
      <c r="N41" s="193"/>
      <c r="O41" s="37"/>
      <c r="P41" s="59">
        <f t="shared" ref="P41:Q43" si="21">F41+I41+L41</f>
        <v>0</v>
      </c>
      <c r="Q41" s="59">
        <f t="shared" si="21"/>
        <v>0</v>
      </c>
      <c r="R41" s="59">
        <f t="shared" si="20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19"/>
        <v>0</v>
      </c>
      <c r="L42" s="200"/>
      <c r="M42" s="192"/>
      <c r="N42" s="193"/>
      <c r="O42" s="37"/>
      <c r="P42" s="59">
        <f t="shared" si="21"/>
        <v>0</v>
      </c>
      <c r="Q42" s="59">
        <f t="shared" si="21"/>
        <v>0</v>
      </c>
      <c r="R42" s="59">
        <f t="shared" si="20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19"/>
        <v>0</v>
      </c>
      <c r="L43" s="201"/>
      <c r="M43" s="195"/>
      <c r="N43" s="196"/>
      <c r="O43" s="37"/>
      <c r="P43" s="95">
        <f t="shared" si="21"/>
        <v>0</v>
      </c>
      <c r="Q43" s="95">
        <f t="shared" si="21"/>
        <v>0</v>
      </c>
      <c r="R43" s="95">
        <f t="shared" si="20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2">F14+F17+F24+F33</f>
        <v>1623120</v>
      </c>
      <c r="G44" s="106">
        <f t="shared" si="22"/>
        <v>0</v>
      </c>
      <c r="H44" s="106">
        <f t="shared" si="22"/>
        <v>1623120</v>
      </c>
      <c r="I44" s="105">
        <f>I14+I17+I24+I33</f>
        <v>1692526</v>
      </c>
      <c r="J44" s="105">
        <f t="shared" si="22"/>
        <v>0</v>
      </c>
      <c r="K44" s="105">
        <f t="shared" si="22"/>
        <v>1692526</v>
      </c>
      <c r="L44" s="105">
        <f t="shared" si="22"/>
        <v>1063836</v>
      </c>
      <c r="M44" s="105">
        <f t="shared" si="22"/>
        <v>0</v>
      </c>
      <c r="N44" s="108">
        <f t="shared" si="22"/>
        <v>1063836</v>
      </c>
      <c r="O44" s="37"/>
      <c r="P44" s="105">
        <f t="shared" ref="P44:R44" si="23">P14+P17+P24+P33</f>
        <v>4379482</v>
      </c>
      <c r="Q44" s="105">
        <f>Q14+Q17+Q24+Q33</f>
        <v>0</v>
      </c>
      <c r="R44" s="105">
        <f t="shared" si="23"/>
        <v>4379482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9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9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88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202"/>
      <c r="G50" s="202"/>
      <c r="H50" s="202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 topLeftCell="M1">
      <selection activeCell="Q15" sqref="Q15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6">
    <mergeCell ref="A60:F60"/>
    <mergeCell ref="A61:F61"/>
    <mergeCell ref="A62:F62"/>
    <mergeCell ref="L34:N43"/>
    <mergeCell ref="A47:F47"/>
    <mergeCell ref="A53:F53"/>
    <mergeCell ref="A58:F58"/>
    <mergeCell ref="A54:F54"/>
    <mergeCell ref="A55:F55"/>
    <mergeCell ref="A56:F56"/>
    <mergeCell ref="A57:F57"/>
    <mergeCell ref="C39:E39"/>
    <mergeCell ref="C40:E40"/>
    <mergeCell ref="F50:H5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F34:H43"/>
    <mergeCell ref="C23:E23"/>
    <mergeCell ref="C25:E25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O62"/>
  <sheetViews>
    <sheetView zoomScale="85" zoomScaleNormal="85" workbookViewId="0">
      <selection activeCell="B11" sqref="B11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16384" width="9.140625" style="1"/>
  </cols>
  <sheetData>
    <row r="1" spans="1:41" ht="21" x14ac:dyDescent="0.35">
      <c r="B1" s="2" t="s">
        <v>55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381551-235.53+173.35</f>
        <v>381488.81999999995</v>
      </c>
      <c r="G10" s="22">
        <f>G44</f>
        <v>0</v>
      </c>
      <c r="H10" s="23">
        <f>F10-G10</f>
        <v>381488.81999999995</v>
      </c>
      <c r="I10" s="22">
        <v>421860</v>
      </c>
      <c r="J10" s="22">
        <f>J44</f>
        <v>0</v>
      </c>
      <c r="K10" s="23">
        <f>I10-J10</f>
        <v>421860</v>
      </c>
      <c r="L10" s="22">
        <v>697958</v>
      </c>
      <c r="M10" s="22">
        <f>M44</f>
        <v>0</v>
      </c>
      <c r="N10" s="23">
        <f>L10-M10</f>
        <v>697958</v>
      </c>
      <c r="O10" s="24"/>
      <c r="P10" s="22">
        <f>F10+I10+L10</f>
        <v>1501306.8199999998</v>
      </c>
      <c r="Q10" s="22">
        <f>Q41</f>
        <v>0</v>
      </c>
      <c r="R10" s="23">
        <f>P10-Q10</f>
        <v>1501306.8199999998</v>
      </c>
    </row>
    <row r="11" spans="1:41" ht="15.75" thickTop="1" x14ac:dyDescent="0.25"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30000</v>
      </c>
      <c r="G14" s="32">
        <f>SUM(G15:G16)</f>
        <v>0</v>
      </c>
      <c r="H14" s="33">
        <f>SUM(H15:H16)</f>
        <v>30000</v>
      </c>
      <c r="I14" s="32">
        <f>SUM(I15:I16)</f>
        <v>42186</v>
      </c>
      <c r="J14" s="32">
        <f t="shared" ref="J14:K14" si="0">SUM(J15:J16)</f>
        <v>0</v>
      </c>
      <c r="K14" s="33">
        <f t="shared" si="0"/>
        <v>42186</v>
      </c>
      <c r="L14" s="32">
        <f>SUM(L15:L16)</f>
        <v>69795</v>
      </c>
      <c r="M14" s="32">
        <f t="shared" ref="M14:N14" si="1">SUM(M15:M16)</f>
        <v>0</v>
      </c>
      <c r="N14" s="33">
        <f t="shared" si="1"/>
        <v>69795</v>
      </c>
      <c r="O14" s="34"/>
      <c r="P14" s="99">
        <f>SUM(P15:P16)</f>
        <v>141981</v>
      </c>
      <c r="Q14" s="99">
        <f t="shared" ref="Q14:R14" si="2">SUM(Q15:Q16)</f>
        <v>0</v>
      </c>
      <c r="R14" s="33">
        <f t="shared" si="2"/>
        <v>141981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138">
        <v>30000</v>
      </c>
      <c r="G15" s="58"/>
      <c r="H15" s="59">
        <f>F15-G15</f>
        <v>30000</v>
      </c>
      <c r="I15" s="60">
        <v>42186</v>
      </c>
      <c r="J15" s="61"/>
      <c r="K15" s="62">
        <f>I15-J15</f>
        <v>42186</v>
      </c>
      <c r="L15" s="63">
        <v>69795</v>
      </c>
      <c r="M15" s="61"/>
      <c r="N15" s="62">
        <f>L15-M15</f>
        <v>69795</v>
      </c>
      <c r="O15" s="37"/>
      <c r="P15" s="64">
        <f t="shared" ref="P15:P16" si="3">F15+I15+L15</f>
        <v>141981</v>
      </c>
      <c r="Q15" s="64">
        <f>G15+J15+M15</f>
        <v>0</v>
      </c>
      <c r="R15" s="64">
        <f>P15-Q15</f>
        <v>141981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/>
      <c r="G16" s="58"/>
      <c r="H16" s="59">
        <f>F16-G16</f>
        <v>0</v>
      </c>
      <c r="I16" s="60"/>
      <c r="J16" s="61"/>
      <c r="K16" s="62">
        <f>I16-J16</f>
        <v>0</v>
      </c>
      <c r="L16" s="63"/>
      <c r="M16" s="61"/>
      <c r="N16" s="62">
        <f>L16-M16</f>
        <v>0</v>
      </c>
      <c r="O16" s="37"/>
      <c r="P16" s="64">
        <f t="shared" si="3"/>
        <v>0</v>
      </c>
      <c r="Q16" s="64">
        <f>G16+J16+M16</f>
        <v>0</v>
      </c>
      <c r="R16" s="64">
        <f>P16-Q16</f>
        <v>0</v>
      </c>
      <c r="U16" s="1" t="s">
        <v>126</v>
      </c>
      <c r="V16" s="153">
        <f>F17+F24+L17+L24</f>
        <v>979652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222000</v>
      </c>
      <c r="G17" s="66">
        <f>SUM(G18:G23)</f>
        <v>0</v>
      </c>
      <c r="H17" s="67">
        <f t="shared" ref="H17" si="4">SUM(H18:H23)</f>
        <v>222000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388163</v>
      </c>
      <c r="M17" s="66">
        <f>SUM(M18:M23)</f>
        <v>0</v>
      </c>
      <c r="N17" s="67">
        <f t="shared" ref="N17" si="6">SUM(N18:N23)</f>
        <v>388163</v>
      </c>
      <c r="O17" s="48"/>
      <c r="P17" s="101">
        <f>SUM(P18:P23)</f>
        <v>610163</v>
      </c>
      <c r="Q17" s="101">
        <f t="shared" ref="Q17:R17" si="7">SUM(Q18:Q23)</f>
        <v>0</v>
      </c>
      <c r="R17" s="67">
        <f t="shared" si="7"/>
        <v>610163</v>
      </c>
      <c r="U17" s="1" t="s">
        <v>127</v>
      </c>
      <c r="V17" s="153">
        <f>F24+L24</f>
        <v>369489</v>
      </c>
      <c r="W17" s="1">
        <f>V17/V16</f>
        <v>0.37716352337360615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138">
        <v>185000</v>
      </c>
      <c r="G18" s="58"/>
      <c r="H18" s="59">
        <f t="shared" ref="H18:H23" si="8">F18-G18</f>
        <v>185000</v>
      </c>
      <c r="I18" s="60"/>
      <c r="J18" s="61"/>
      <c r="K18" s="62">
        <f t="shared" ref="K18:K23" si="9">I18-J18</f>
        <v>0</v>
      </c>
      <c r="L18" s="139">
        <v>290000</v>
      </c>
      <c r="M18" s="61"/>
      <c r="N18" s="62">
        <f t="shared" ref="N18:N23" si="10">L18-M18</f>
        <v>290000</v>
      </c>
      <c r="O18" s="37"/>
      <c r="P18" s="64">
        <f t="shared" ref="P18:P23" si="11">F18+I18+L18</f>
        <v>475000</v>
      </c>
      <c r="Q18" s="64">
        <f>G18+J18+M18</f>
        <v>0</v>
      </c>
      <c r="R18" s="64">
        <f t="shared" ref="R18:R23" si="12">P18-Q18</f>
        <v>475000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35000</v>
      </c>
      <c r="G19" s="58"/>
      <c r="H19" s="59">
        <f t="shared" si="8"/>
        <v>35000</v>
      </c>
      <c r="I19" s="60"/>
      <c r="J19" s="61"/>
      <c r="K19" s="62">
        <f t="shared" si="9"/>
        <v>0</v>
      </c>
      <c r="L19" s="139">
        <v>95000</v>
      </c>
      <c r="M19" s="61"/>
      <c r="N19" s="62">
        <f t="shared" si="10"/>
        <v>95000</v>
      </c>
      <c r="O19" s="37"/>
      <c r="P19" s="64">
        <f t="shared" si="11"/>
        <v>130000</v>
      </c>
      <c r="Q19" s="64">
        <f>G19+J19+M19</f>
        <v>0</v>
      </c>
      <c r="R19" s="64">
        <f t="shared" si="12"/>
        <v>130000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141">
        <v>2000</v>
      </c>
      <c r="G23" s="74"/>
      <c r="H23" s="75">
        <f t="shared" si="8"/>
        <v>2000</v>
      </c>
      <c r="I23" s="76"/>
      <c r="J23" s="77"/>
      <c r="K23" s="78">
        <f t="shared" si="9"/>
        <v>0</v>
      </c>
      <c r="L23" s="152">
        <v>3163</v>
      </c>
      <c r="M23" s="77"/>
      <c r="N23" s="78">
        <f t="shared" si="10"/>
        <v>3163</v>
      </c>
      <c r="O23" s="37"/>
      <c r="P23" s="64">
        <f t="shared" si="11"/>
        <v>5163</v>
      </c>
      <c r="Q23" s="64">
        <f>G23+J23+M23</f>
        <v>0</v>
      </c>
      <c r="R23" s="64">
        <f t="shared" si="12"/>
        <v>5163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129489</v>
      </c>
      <c r="G24" s="66">
        <f>SUM(G25:G32)</f>
        <v>0</v>
      </c>
      <c r="H24" s="67">
        <f>SUM(H25:H32)</f>
        <v>129489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240000</v>
      </c>
      <c r="M24" s="66">
        <f t="shared" ref="M24:N24" si="15">SUM(M25:M32)</f>
        <v>0</v>
      </c>
      <c r="N24" s="67">
        <f t="shared" si="15"/>
        <v>240000</v>
      </c>
      <c r="O24" s="48"/>
      <c r="P24" s="101">
        <f>SUM(P25:P32)</f>
        <v>369489</v>
      </c>
      <c r="Q24" s="101">
        <f t="shared" ref="Q24:R24" si="16">SUM(Q25:Q32)</f>
        <v>0</v>
      </c>
      <c r="R24" s="67">
        <f t="shared" si="16"/>
        <v>369489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70000</v>
      </c>
      <c r="G25" s="58"/>
      <c r="H25" s="59">
        <f>F25-G25</f>
        <v>70000</v>
      </c>
      <c r="I25" s="60"/>
      <c r="J25" s="61"/>
      <c r="K25" s="62">
        <f>I25-J25</f>
        <v>0</v>
      </c>
      <c r="L25" s="63">
        <v>100000</v>
      </c>
      <c r="M25" s="61"/>
      <c r="N25" s="62">
        <f>L25-M25</f>
        <v>100000</v>
      </c>
      <c r="O25" s="37"/>
      <c r="P25" s="64">
        <f t="shared" ref="P25:Q43" si="17">F25+I25+L25</f>
        <v>170000</v>
      </c>
      <c r="Q25" s="64">
        <f>G25+J25+M25</f>
        <v>0</v>
      </c>
      <c r="R25" s="64">
        <f>P25-Q25</f>
        <v>170000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138">
        <v>43000</v>
      </c>
      <c r="G26" s="58"/>
      <c r="H26" s="59">
        <f>F26-G26</f>
        <v>43000</v>
      </c>
      <c r="I26" s="60"/>
      <c r="J26" s="61"/>
      <c r="K26" s="62">
        <f>I26-J26</f>
        <v>0</v>
      </c>
      <c r="L26" s="139">
        <v>40000</v>
      </c>
      <c r="M26" s="61"/>
      <c r="N26" s="62">
        <f>L26-M26</f>
        <v>40000</v>
      </c>
      <c r="O26" s="37"/>
      <c r="P26" s="64">
        <f t="shared" si="17"/>
        <v>83000</v>
      </c>
      <c r="Q26" s="64">
        <f>G26+J26+M26</f>
        <v>0</v>
      </c>
      <c r="R26" s="64">
        <f>P26-Q26</f>
        <v>83000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138">
        <v>10000</v>
      </c>
      <c r="G28" s="58"/>
      <c r="H28" s="59">
        <f>F28-G28</f>
        <v>10000</v>
      </c>
      <c r="I28" s="60"/>
      <c r="J28" s="61"/>
      <c r="K28" s="62">
        <f>I28-J28</f>
        <v>0</v>
      </c>
      <c r="L28" s="139">
        <v>75000</v>
      </c>
      <c r="M28" s="61"/>
      <c r="N28" s="62">
        <f t="shared" ref="N28:N31" si="19">L28-M28</f>
        <v>75000</v>
      </c>
      <c r="O28" s="37"/>
      <c r="P28" s="64">
        <f t="shared" si="17"/>
        <v>85000</v>
      </c>
      <c r="Q28" s="64">
        <f t="shared" si="18"/>
        <v>0</v>
      </c>
      <c r="R28" s="64">
        <f>P28-Q28</f>
        <v>85000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139">
        <v>10000</v>
      </c>
      <c r="M29" s="61"/>
      <c r="N29" s="62">
        <f t="shared" si="19"/>
        <v>10000</v>
      </c>
      <c r="O29" s="37"/>
      <c r="P29" s="64">
        <f t="shared" si="17"/>
        <v>10000</v>
      </c>
      <c r="Q29" s="64">
        <f t="shared" si="18"/>
        <v>0</v>
      </c>
      <c r="R29" s="64">
        <f t="shared" ref="R29:R31" si="22">P29-Q29</f>
        <v>10000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138">
        <v>6489</v>
      </c>
      <c r="G32" s="58"/>
      <c r="H32" s="59">
        <f>F32-G32</f>
        <v>6489</v>
      </c>
      <c r="I32" s="60"/>
      <c r="J32" s="61"/>
      <c r="K32" s="62">
        <f>I32-J32</f>
        <v>0</v>
      </c>
      <c r="L32" s="63">
        <v>15000</v>
      </c>
      <c r="M32" s="61"/>
      <c r="N32" s="62">
        <f>L32-M32</f>
        <v>15000</v>
      </c>
      <c r="O32" s="37"/>
      <c r="P32" s="64">
        <f t="shared" si="17"/>
        <v>21489</v>
      </c>
      <c r="Q32" s="64">
        <f>G32+J32+M32</f>
        <v>0</v>
      </c>
      <c r="R32" s="64">
        <f>P32-Q32</f>
        <v>21489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379674</v>
      </c>
      <c r="J33" s="66">
        <f>SUM(J34:J43)</f>
        <v>0</v>
      </c>
      <c r="K33" s="67">
        <f>SUM(K34:K43)</f>
        <v>379674</v>
      </c>
      <c r="L33" s="66"/>
      <c r="M33" s="66"/>
      <c r="N33" s="67"/>
      <c r="O33" s="48"/>
      <c r="P33" s="101">
        <f>SUM(P34:P43)</f>
        <v>379674</v>
      </c>
      <c r="Q33" s="101">
        <f>SUM(Q34:Q43)</f>
        <v>0</v>
      </c>
      <c r="R33" s="67">
        <f>SUM(R34:R43)</f>
        <v>379674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120000</v>
      </c>
      <c r="J34" s="58"/>
      <c r="K34" s="59">
        <f t="shared" ref="K34:K43" si="23">I34-J34</f>
        <v>120000</v>
      </c>
      <c r="L34" s="199"/>
      <c r="M34" s="189"/>
      <c r="N34" s="190"/>
      <c r="O34" s="37"/>
      <c r="P34" s="59">
        <f t="shared" si="17"/>
        <v>120000</v>
      </c>
      <c r="Q34" s="59">
        <f t="shared" si="17"/>
        <v>0</v>
      </c>
      <c r="R34" s="59">
        <f t="shared" ref="R34:R43" si="24">P34-Q34</f>
        <v>120000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50000</v>
      </c>
      <c r="J35" s="58"/>
      <c r="K35" s="59">
        <f t="shared" si="23"/>
        <v>50000</v>
      </c>
      <c r="L35" s="200"/>
      <c r="M35" s="192"/>
      <c r="N35" s="193"/>
      <c r="O35" s="37"/>
      <c r="P35" s="59">
        <f t="shared" si="17"/>
        <v>50000</v>
      </c>
      <c r="Q35" s="59">
        <f t="shared" si="17"/>
        <v>0</v>
      </c>
      <c r="R35" s="59">
        <f t="shared" si="24"/>
        <v>50000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50000</v>
      </c>
      <c r="J36" s="58"/>
      <c r="K36" s="59">
        <f t="shared" si="23"/>
        <v>50000</v>
      </c>
      <c r="L36" s="200"/>
      <c r="M36" s="192"/>
      <c r="N36" s="193"/>
      <c r="O36" s="37"/>
      <c r="P36" s="59">
        <f t="shared" si="17"/>
        <v>50000</v>
      </c>
      <c r="Q36" s="59">
        <f t="shared" si="17"/>
        <v>0</v>
      </c>
      <c r="R36" s="59">
        <f t="shared" si="24"/>
        <v>50000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134674</v>
      </c>
      <c r="J37" s="58"/>
      <c r="K37" s="59">
        <f t="shared" si="23"/>
        <v>134674</v>
      </c>
      <c r="L37" s="200"/>
      <c r="M37" s="192"/>
      <c r="N37" s="193"/>
      <c r="O37" s="37"/>
      <c r="P37" s="59">
        <f t="shared" si="17"/>
        <v>134674</v>
      </c>
      <c r="Q37" s="59">
        <f t="shared" si="17"/>
        <v>0</v>
      </c>
      <c r="R37" s="59">
        <f t="shared" si="24"/>
        <v>134674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25000</v>
      </c>
      <c r="J38" s="58"/>
      <c r="K38" s="59">
        <f t="shared" si="23"/>
        <v>25000</v>
      </c>
      <c r="L38" s="200"/>
      <c r="M38" s="192"/>
      <c r="N38" s="193"/>
      <c r="O38" s="37"/>
      <c r="P38" s="59">
        <f t="shared" si="17"/>
        <v>25000</v>
      </c>
      <c r="Q38" s="59">
        <f t="shared" si="17"/>
        <v>0</v>
      </c>
      <c r="R38" s="59">
        <f t="shared" si="24"/>
        <v>25000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3"/>
        <v>0</v>
      </c>
      <c r="L39" s="200"/>
      <c r="M39" s="192"/>
      <c r="N39" s="193"/>
      <c r="O39" s="37"/>
      <c r="P39" s="59">
        <f t="shared" si="17"/>
        <v>0</v>
      </c>
      <c r="Q39" s="59">
        <f t="shared" si="17"/>
        <v>0</v>
      </c>
      <c r="R39" s="59">
        <f t="shared" si="24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381489</v>
      </c>
      <c r="G44" s="106">
        <f t="shared" si="25"/>
        <v>0</v>
      </c>
      <c r="H44" s="106">
        <f t="shared" si="25"/>
        <v>381489</v>
      </c>
      <c r="I44" s="105">
        <f t="shared" si="25"/>
        <v>421860</v>
      </c>
      <c r="J44" s="105">
        <f t="shared" si="25"/>
        <v>0</v>
      </c>
      <c r="K44" s="105">
        <f t="shared" si="25"/>
        <v>421860</v>
      </c>
      <c r="L44" s="105">
        <f t="shared" si="25"/>
        <v>697958</v>
      </c>
      <c r="M44" s="105">
        <f t="shared" si="25"/>
        <v>0</v>
      </c>
      <c r="N44" s="105">
        <f t="shared" si="25"/>
        <v>697958</v>
      </c>
      <c r="O44" s="37"/>
      <c r="P44" s="105">
        <f t="shared" ref="P44:R44" si="26">P14+P17+P24+P33</f>
        <v>1501307</v>
      </c>
      <c r="Q44" s="105">
        <f t="shared" si="26"/>
        <v>0</v>
      </c>
      <c r="R44" s="105">
        <f t="shared" si="26"/>
        <v>1501307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/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85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80"/>
      <c r="G49" s="80"/>
      <c r="H49" s="80"/>
      <c r="I49" s="112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3" t="s">
        <v>119</v>
      </c>
      <c r="B55" s="203"/>
      <c r="C55" s="203"/>
      <c r="D55" s="203"/>
      <c r="E55" s="203"/>
      <c r="F55" s="203"/>
    </row>
    <row r="56" spans="1:15" x14ac:dyDescent="0.25">
      <c r="A56" s="203" t="s">
        <v>120</v>
      </c>
      <c r="B56" s="203"/>
      <c r="C56" s="203"/>
      <c r="D56" s="203"/>
      <c r="E56" s="203"/>
      <c r="F56" s="203"/>
    </row>
    <row r="57" spans="1:15" x14ac:dyDescent="0.25">
      <c r="A57" s="203" t="s">
        <v>155</v>
      </c>
      <c r="B57" s="203"/>
      <c r="C57" s="203"/>
      <c r="D57" s="203"/>
      <c r="E57" s="203"/>
      <c r="F57" s="203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56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v>786905</v>
      </c>
      <c r="G10" s="22">
        <f>G44</f>
        <v>0</v>
      </c>
      <c r="H10" s="23">
        <f>F10-G10</f>
        <v>786905</v>
      </c>
      <c r="I10" s="22">
        <v>824101</v>
      </c>
      <c r="J10" s="22">
        <f>J44</f>
        <v>0</v>
      </c>
      <c r="K10" s="23">
        <f>I10-J10</f>
        <v>824101</v>
      </c>
      <c r="L10" s="22">
        <v>903195</v>
      </c>
      <c r="M10" s="22">
        <f>M44</f>
        <v>0</v>
      </c>
      <c r="N10" s="23">
        <f>L10-M10</f>
        <v>903195</v>
      </c>
      <c r="O10" s="24"/>
      <c r="P10" s="22">
        <f>F10+I10+L10</f>
        <v>2514201</v>
      </c>
      <c r="Q10" s="22">
        <f>Q41</f>
        <v>0</v>
      </c>
      <c r="R10" s="23">
        <f>P10-Q10</f>
        <v>2514201</v>
      </c>
    </row>
    <row r="11" spans="1:41" ht="15.75" thickTop="1" x14ac:dyDescent="0.25"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78691</v>
      </c>
      <c r="G14" s="32">
        <f>SUM(G15:G16)</f>
        <v>0</v>
      </c>
      <c r="H14" s="33">
        <f>SUM(H15:H16)</f>
        <v>78691</v>
      </c>
      <c r="I14" s="32">
        <f>SUM(I15:I16)</f>
        <v>82410</v>
      </c>
      <c r="J14" s="32">
        <f t="shared" ref="J14:K14" si="0">SUM(J15:J16)</f>
        <v>0</v>
      </c>
      <c r="K14" s="33">
        <f t="shared" si="0"/>
        <v>82410</v>
      </c>
      <c r="L14" s="32">
        <f>SUM(L15:L16)</f>
        <v>90320</v>
      </c>
      <c r="M14" s="32">
        <f t="shared" ref="M14:N14" si="1">SUM(M15:M16)</f>
        <v>0</v>
      </c>
      <c r="N14" s="33">
        <f t="shared" si="1"/>
        <v>90320</v>
      </c>
      <c r="O14" s="34"/>
      <c r="P14" s="99">
        <f>SUM(P15:P16)</f>
        <v>251421</v>
      </c>
      <c r="Q14" s="99">
        <f t="shared" ref="Q14:R14" si="2">SUM(Q15:Q16)</f>
        <v>0</v>
      </c>
      <c r="R14" s="33">
        <f t="shared" si="2"/>
        <v>251421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37772</v>
      </c>
      <c r="G15" s="58"/>
      <c r="H15" s="59">
        <f>F15-G15</f>
        <v>37772</v>
      </c>
      <c r="I15" s="140">
        <v>40381</v>
      </c>
      <c r="J15" s="61"/>
      <c r="K15" s="62">
        <f>I15-J15</f>
        <v>40381</v>
      </c>
      <c r="L15" s="63">
        <v>44345</v>
      </c>
      <c r="M15" s="61"/>
      <c r="N15" s="62">
        <f>L15-M15</f>
        <v>44345</v>
      </c>
      <c r="O15" s="37"/>
      <c r="P15" s="64">
        <f t="shared" ref="P15:P16" si="3">F15+I15+L15</f>
        <v>122498</v>
      </c>
      <c r="Q15" s="64">
        <f>G15+J15+M15</f>
        <v>0</v>
      </c>
      <c r="R15" s="64">
        <f>P15-Q15</f>
        <v>122498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40919</v>
      </c>
      <c r="G16" s="58"/>
      <c r="H16" s="59">
        <f>F16-G16</f>
        <v>40919</v>
      </c>
      <c r="I16" s="140">
        <v>42029</v>
      </c>
      <c r="J16" s="61"/>
      <c r="K16" s="62">
        <f>I16-J16</f>
        <v>42029</v>
      </c>
      <c r="L16" s="63">
        <v>45975</v>
      </c>
      <c r="M16" s="61"/>
      <c r="N16" s="62">
        <f>L16-M16</f>
        <v>45975</v>
      </c>
      <c r="O16" s="37"/>
      <c r="P16" s="64">
        <f t="shared" si="3"/>
        <v>128923</v>
      </c>
      <c r="Q16" s="64">
        <f>G16+J16+M16</f>
        <v>0</v>
      </c>
      <c r="R16" s="64">
        <f>P16-Q16</f>
        <v>128923</v>
      </c>
      <c r="U16" s="1" t="s">
        <v>126</v>
      </c>
      <c r="V16" s="153">
        <f>F17+F24+L17+L24</f>
        <v>1521089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499215</v>
      </c>
      <c r="G17" s="66">
        <f>SUM(G18:G23)</f>
        <v>0</v>
      </c>
      <c r="H17" s="67">
        <f t="shared" ref="H17" si="4">SUM(H18:H23)</f>
        <v>499215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555066</v>
      </c>
      <c r="M17" s="66">
        <f>SUM(M18:M23)</f>
        <v>0</v>
      </c>
      <c r="N17" s="67">
        <f t="shared" ref="N17" si="6">SUM(N18:N23)</f>
        <v>555066</v>
      </c>
      <c r="O17" s="48"/>
      <c r="P17" s="101">
        <f>SUM(P18:P23)</f>
        <v>1054281</v>
      </c>
      <c r="Q17" s="101">
        <f t="shared" ref="Q17:R17" si="7">SUM(Q18:Q23)</f>
        <v>0</v>
      </c>
      <c r="R17" s="67">
        <f t="shared" si="7"/>
        <v>1054281</v>
      </c>
      <c r="U17" s="1" t="s">
        <v>127</v>
      </c>
      <c r="V17" s="153">
        <f>F24+L24</f>
        <v>466808</v>
      </c>
      <c r="W17" s="1">
        <f>V17/V16</f>
        <v>0.30689065531339715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138">
        <v>344494</v>
      </c>
      <c r="G18" s="58"/>
      <c r="H18" s="59">
        <f t="shared" ref="H18:H23" si="8">F18-G18</f>
        <v>344494</v>
      </c>
      <c r="I18" s="60"/>
      <c r="J18" s="61"/>
      <c r="K18" s="62">
        <f t="shared" ref="K18:K23" si="9">I18-J18</f>
        <v>0</v>
      </c>
      <c r="L18" s="63">
        <v>403662</v>
      </c>
      <c r="M18" s="61"/>
      <c r="N18" s="62">
        <f t="shared" ref="N18:N23" si="10">L18-M18</f>
        <v>403662</v>
      </c>
      <c r="O18" s="37"/>
      <c r="P18" s="64">
        <f t="shared" ref="P18:P23" si="11">F18+I18+L18</f>
        <v>748156</v>
      </c>
      <c r="Q18" s="64">
        <f>G18+J18+M18</f>
        <v>0</v>
      </c>
      <c r="R18" s="64">
        <f t="shared" ref="R18:R23" si="12">P18-Q18</f>
        <v>748156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116478</v>
      </c>
      <c r="G19" s="58"/>
      <c r="H19" s="59">
        <f t="shared" si="8"/>
        <v>116478</v>
      </c>
      <c r="I19" s="60"/>
      <c r="J19" s="61"/>
      <c r="K19" s="62">
        <f t="shared" si="9"/>
        <v>0</v>
      </c>
      <c r="L19" s="63">
        <v>126808</v>
      </c>
      <c r="M19" s="61"/>
      <c r="N19" s="62">
        <f t="shared" si="10"/>
        <v>126808</v>
      </c>
      <c r="O19" s="37"/>
      <c r="P19" s="64">
        <f t="shared" si="11"/>
        <v>243286</v>
      </c>
      <c r="Q19" s="64">
        <f>G19+J19+M19</f>
        <v>0</v>
      </c>
      <c r="R19" s="64">
        <f t="shared" si="12"/>
        <v>243286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151">
        <v>4553</v>
      </c>
      <c r="G22" s="68"/>
      <c r="H22" s="69">
        <f t="shared" si="8"/>
        <v>4553</v>
      </c>
      <c r="I22" s="60"/>
      <c r="J22" s="70"/>
      <c r="K22" s="71">
        <f t="shared" si="9"/>
        <v>0</v>
      </c>
      <c r="L22" s="72">
        <v>3000</v>
      </c>
      <c r="M22" s="70"/>
      <c r="N22" s="71">
        <f t="shared" si="10"/>
        <v>3000</v>
      </c>
      <c r="O22" s="37"/>
      <c r="P22" s="73">
        <f t="shared" si="11"/>
        <v>7553</v>
      </c>
      <c r="Q22" s="64">
        <f t="shared" si="13"/>
        <v>0</v>
      </c>
      <c r="R22" s="73">
        <f t="shared" si="12"/>
        <v>7553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141">
        <v>33690</v>
      </c>
      <c r="G23" s="74"/>
      <c r="H23" s="75">
        <f t="shared" si="8"/>
        <v>33690</v>
      </c>
      <c r="I23" s="76"/>
      <c r="J23" s="77"/>
      <c r="K23" s="78">
        <f t="shared" si="9"/>
        <v>0</v>
      </c>
      <c r="L23" s="79">
        <v>21596</v>
      </c>
      <c r="M23" s="77"/>
      <c r="N23" s="78">
        <f t="shared" si="10"/>
        <v>21596</v>
      </c>
      <c r="O23" s="37"/>
      <c r="P23" s="64">
        <f t="shared" si="11"/>
        <v>55286</v>
      </c>
      <c r="Q23" s="64">
        <f>G23+J23+M23</f>
        <v>0</v>
      </c>
      <c r="R23" s="64">
        <f t="shared" si="12"/>
        <v>55286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208999</v>
      </c>
      <c r="G24" s="66">
        <f>SUM(G25:G32)</f>
        <v>0</v>
      </c>
      <c r="H24" s="67">
        <f>SUM(H25:H32)</f>
        <v>208999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257809</v>
      </c>
      <c r="M24" s="66">
        <f t="shared" ref="M24:N24" si="15">SUM(M25:M32)</f>
        <v>0</v>
      </c>
      <c r="N24" s="67">
        <f t="shared" si="15"/>
        <v>257809</v>
      </c>
      <c r="O24" s="48"/>
      <c r="P24" s="101">
        <f>SUM(P25:P32)</f>
        <v>466808</v>
      </c>
      <c r="Q24" s="101">
        <f t="shared" ref="Q24:R24" si="16">SUM(Q25:Q32)</f>
        <v>0</v>
      </c>
      <c r="R24" s="67">
        <f t="shared" si="16"/>
        <v>466808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154434</v>
      </c>
      <c r="G25" s="58"/>
      <c r="H25" s="59">
        <f>F25-G25</f>
        <v>154434</v>
      </c>
      <c r="I25" s="60"/>
      <c r="J25" s="61"/>
      <c r="K25" s="62">
        <f>I25-J25</f>
        <v>0</v>
      </c>
      <c r="L25" s="63">
        <v>198163</v>
      </c>
      <c r="M25" s="61"/>
      <c r="N25" s="62">
        <f>L25-M25</f>
        <v>198163</v>
      </c>
      <c r="O25" s="37"/>
      <c r="P25" s="64">
        <f t="shared" ref="P25:Q43" si="17">F25+I25+L25</f>
        <v>352597</v>
      </c>
      <c r="Q25" s="64">
        <f>G25+J25+M25</f>
        <v>0</v>
      </c>
      <c r="R25" s="64">
        <f>P25-Q25</f>
        <v>352597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54565</v>
      </c>
      <c r="G26" s="58"/>
      <c r="H26" s="59">
        <f>F26-G26</f>
        <v>54565</v>
      </c>
      <c r="I26" s="60"/>
      <c r="J26" s="61"/>
      <c r="K26" s="62">
        <f>I26-J26</f>
        <v>0</v>
      </c>
      <c r="L26" s="63">
        <v>59646</v>
      </c>
      <c r="M26" s="61"/>
      <c r="N26" s="62">
        <f>L26-M26</f>
        <v>59646</v>
      </c>
      <c r="O26" s="37"/>
      <c r="P26" s="64">
        <f t="shared" si="17"/>
        <v>114211</v>
      </c>
      <c r="Q26" s="64">
        <f>G26+J26+M26</f>
        <v>0</v>
      </c>
      <c r="R26" s="64">
        <f>P26-Q26</f>
        <v>114211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741691</v>
      </c>
      <c r="J33" s="66">
        <f>SUM(J34:J43)</f>
        <v>0</v>
      </c>
      <c r="K33" s="67">
        <f>SUM(K34:K43)</f>
        <v>741691</v>
      </c>
      <c r="L33" s="66"/>
      <c r="M33" s="66"/>
      <c r="N33" s="67"/>
      <c r="O33" s="48"/>
      <c r="P33" s="101">
        <f>SUM(P34:P43)</f>
        <v>741691</v>
      </c>
      <c r="Q33" s="101">
        <f>SUM(Q34:Q43)</f>
        <v>0</v>
      </c>
      <c r="R33" s="67">
        <f>SUM(R34:R43)</f>
        <v>741691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227353</v>
      </c>
      <c r="J34" s="58"/>
      <c r="K34" s="59">
        <f t="shared" ref="K34:K43" si="23">I34-J34</f>
        <v>227353</v>
      </c>
      <c r="L34" s="199"/>
      <c r="M34" s="189"/>
      <c r="N34" s="190"/>
      <c r="O34" s="37"/>
      <c r="P34" s="59">
        <f t="shared" si="17"/>
        <v>227353</v>
      </c>
      <c r="Q34" s="59">
        <f t="shared" si="17"/>
        <v>0</v>
      </c>
      <c r="R34" s="59">
        <f t="shared" ref="R34:R43" si="24">P34-Q34</f>
        <v>227353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352084</v>
      </c>
      <c r="J35" s="58"/>
      <c r="K35" s="59">
        <f t="shared" si="23"/>
        <v>352084</v>
      </c>
      <c r="L35" s="200"/>
      <c r="M35" s="192"/>
      <c r="N35" s="193"/>
      <c r="O35" s="37"/>
      <c r="P35" s="59">
        <f t="shared" si="17"/>
        <v>352084</v>
      </c>
      <c r="Q35" s="59">
        <f t="shared" si="17"/>
        <v>0</v>
      </c>
      <c r="R35" s="59">
        <f t="shared" si="24"/>
        <v>352084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/>
      <c r="J36" s="58"/>
      <c r="K36" s="59">
        <f t="shared" si="23"/>
        <v>0</v>
      </c>
      <c r="L36" s="200"/>
      <c r="M36" s="192"/>
      <c r="N36" s="193"/>
      <c r="O36" s="37"/>
      <c r="P36" s="59">
        <f t="shared" si="17"/>
        <v>0</v>
      </c>
      <c r="Q36" s="59">
        <f t="shared" si="17"/>
        <v>0</v>
      </c>
      <c r="R36" s="59">
        <f t="shared" si="24"/>
        <v>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/>
      <c r="J37" s="58"/>
      <c r="K37" s="59">
        <f t="shared" si="23"/>
        <v>0</v>
      </c>
      <c r="L37" s="200"/>
      <c r="M37" s="192"/>
      <c r="N37" s="193"/>
      <c r="O37" s="37"/>
      <c r="P37" s="59">
        <f t="shared" si="17"/>
        <v>0</v>
      </c>
      <c r="Q37" s="59">
        <f t="shared" si="17"/>
        <v>0</v>
      </c>
      <c r="R37" s="59">
        <f t="shared" si="24"/>
        <v>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138">
        <v>63146</v>
      </c>
      <c r="J39" s="58"/>
      <c r="K39" s="59">
        <f t="shared" si="23"/>
        <v>63146</v>
      </c>
      <c r="L39" s="200"/>
      <c r="M39" s="192"/>
      <c r="N39" s="193"/>
      <c r="O39" s="37"/>
      <c r="P39" s="59">
        <f t="shared" si="17"/>
        <v>63146</v>
      </c>
      <c r="Q39" s="59">
        <f t="shared" si="17"/>
        <v>0</v>
      </c>
      <c r="R39" s="59">
        <f t="shared" si="24"/>
        <v>63146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138">
        <v>99108</v>
      </c>
      <c r="J40" s="58"/>
      <c r="K40" s="59">
        <f t="shared" si="23"/>
        <v>99108</v>
      </c>
      <c r="L40" s="200"/>
      <c r="M40" s="192"/>
      <c r="N40" s="193"/>
      <c r="O40" s="37"/>
      <c r="P40" s="59">
        <f t="shared" si="17"/>
        <v>99108</v>
      </c>
      <c r="Q40" s="59">
        <f t="shared" si="17"/>
        <v>0</v>
      </c>
      <c r="R40" s="59">
        <f t="shared" si="24"/>
        <v>99108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786905</v>
      </c>
      <c r="G44" s="106">
        <f t="shared" si="25"/>
        <v>0</v>
      </c>
      <c r="H44" s="106">
        <f t="shared" si="25"/>
        <v>786905</v>
      </c>
      <c r="I44" s="105">
        <f t="shared" si="25"/>
        <v>824101</v>
      </c>
      <c r="J44" s="105">
        <f t="shared" si="25"/>
        <v>0</v>
      </c>
      <c r="K44" s="105">
        <f t="shared" si="25"/>
        <v>824101</v>
      </c>
      <c r="L44" s="105">
        <f t="shared" si="25"/>
        <v>903195</v>
      </c>
      <c r="M44" s="105">
        <f t="shared" si="25"/>
        <v>0</v>
      </c>
      <c r="N44" s="105">
        <f t="shared" si="25"/>
        <v>903195</v>
      </c>
      <c r="O44" s="37"/>
      <c r="P44" s="105">
        <f t="shared" ref="P44:R44" si="26">P14+P17+P24+P33</f>
        <v>2514201</v>
      </c>
      <c r="Q44" s="105">
        <f t="shared" si="26"/>
        <v>0</v>
      </c>
      <c r="R44" s="105">
        <f t="shared" si="26"/>
        <v>2514201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/>
      </c>
      <c r="M45" s="37"/>
      <c r="N45" s="37"/>
      <c r="O45" s="37"/>
      <c r="P45" s="37" t="str">
        <f>IF(P44&lt;&gt;P10,"Calculation Error","")</f>
        <v/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O66"/>
  <sheetViews>
    <sheetView zoomScale="85" zoomScaleNormal="85" workbookViewId="0">
      <selection activeCell="B11" sqref="B11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1.7109375" style="1" customWidth="1"/>
    <col min="6" max="6" width="20" style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62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917222-28601.9+2076.76</f>
        <v>890696.86</v>
      </c>
      <c r="G10" s="22">
        <f>G44</f>
        <v>0</v>
      </c>
      <c r="H10" s="23">
        <f>F10-G10</f>
        <v>890696.86</v>
      </c>
      <c r="I10" s="22">
        <v>1035230</v>
      </c>
      <c r="J10" s="22">
        <f>J44</f>
        <v>0</v>
      </c>
      <c r="K10" s="23">
        <f>I10-J10</f>
        <v>1035230</v>
      </c>
      <c r="L10" s="22">
        <f>816572-28747+2831.34</f>
        <v>790656.34</v>
      </c>
      <c r="M10" s="22">
        <f>M44</f>
        <v>0</v>
      </c>
      <c r="N10" s="23">
        <f>L10-M10</f>
        <v>790656.34</v>
      </c>
      <c r="O10" s="24"/>
      <c r="P10" s="22">
        <f>F10+I10+L10</f>
        <v>2716583.1999999997</v>
      </c>
      <c r="Q10" s="22">
        <f>Q41</f>
        <v>0</v>
      </c>
      <c r="R10" s="23">
        <f>P10-Q10</f>
        <v>2716583.1999999997</v>
      </c>
    </row>
    <row r="11" spans="1:41" ht="15.75" thickTop="1" x14ac:dyDescent="0.25">
      <c r="F11" s="124">
        <v>108027.4</v>
      </c>
      <c r="H11" s="6"/>
      <c r="I11" s="124">
        <v>121298.8</v>
      </c>
      <c r="K11" s="6"/>
      <c r="L11" s="124">
        <v>103609.3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21" t="s">
        <v>77</v>
      </c>
      <c r="C13" s="117"/>
      <c r="D13" s="117"/>
      <c r="E13" s="117"/>
      <c r="F13" s="116">
        <v>25275.15</v>
      </c>
      <c r="G13" s="122" t="str">
        <f>IF(F14&gt;D65,"ERROR","")</f>
        <v>ERROR</v>
      </c>
      <c r="H13" s="27"/>
      <c r="I13" s="116">
        <v>25275.14</v>
      </c>
      <c r="J13" s="122" t="str">
        <f>IF(I14&gt;E65,"ERROR","")</f>
        <v>ERROR</v>
      </c>
      <c r="K13" s="27"/>
      <c r="L13" s="116">
        <v>25275.14</v>
      </c>
      <c r="M13" s="122" t="str">
        <f>IF(L14&gt;F65,"ERROR","")</f>
        <v>ERROR</v>
      </c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123"/>
      <c r="F14" s="32">
        <f>SUM(F15:F16)</f>
        <v>66447</v>
      </c>
      <c r="G14" s="32">
        <f>SUM(G15:G16)</f>
        <v>0</v>
      </c>
      <c r="H14" s="33">
        <f>SUM(H15:H16)</f>
        <v>66447</v>
      </c>
      <c r="I14" s="32">
        <f>SUM(I15:I16)</f>
        <v>78248</v>
      </c>
      <c r="J14" s="32">
        <f t="shared" ref="J14:K14" si="0">SUM(J15:J16)</f>
        <v>0</v>
      </c>
      <c r="K14" s="33">
        <f t="shared" si="0"/>
        <v>78248</v>
      </c>
      <c r="L14" s="32">
        <f>SUM(L15:L16)</f>
        <v>56382</v>
      </c>
      <c r="M14" s="32">
        <f t="shared" ref="M14:N14" si="1">SUM(M15:M16)</f>
        <v>0</v>
      </c>
      <c r="N14" s="33">
        <f t="shared" si="1"/>
        <v>56382</v>
      </c>
      <c r="O14" s="34"/>
      <c r="P14" s="99">
        <f>SUM(P15:P16)</f>
        <v>201077</v>
      </c>
      <c r="Q14" s="99">
        <f t="shared" ref="Q14:R14" si="2">SUM(Q15:Q16)</f>
        <v>0</v>
      </c>
      <c r="R14" s="33">
        <f t="shared" si="2"/>
        <v>201077</v>
      </c>
    </row>
    <row r="15" spans="1:41" x14ac:dyDescent="0.25">
      <c r="A15" s="29" t="s">
        <v>14</v>
      </c>
      <c r="B15" s="115"/>
      <c r="C15" s="177" t="s">
        <v>15</v>
      </c>
      <c r="D15" s="178"/>
      <c r="E15" s="178"/>
      <c r="F15" s="58">
        <v>38539</v>
      </c>
      <c r="G15" s="58"/>
      <c r="H15" s="59">
        <f>F15-G15</f>
        <v>38539</v>
      </c>
      <c r="I15" s="60">
        <v>45384</v>
      </c>
      <c r="J15" s="61"/>
      <c r="K15" s="62">
        <f>I15-J15</f>
        <v>45384</v>
      </c>
      <c r="L15" s="63">
        <v>32702</v>
      </c>
      <c r="M15" s="61"/>
      <c r="N15" s="62">
        <f>L15-M15</f>
        <v>32702</v>
      </c>
      <c r="O15" s="37"/>
      <c r="P15" s="64">
        <f t="shared" ref="P15:P16" si="3">F15+I15+L15</f>
        <v>116625</v>
      </c>
      <c r="Q15" s="64">
        <f>G15+J15+M15</f>
        <v>0</v>
      </c>
      <c r="R15" s="64">
        <f>P15-Q15</f>
        <v>116625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15"/>
      <c r="C16" s="50" t="s">
        <v>16</v>
      </c>
      <c r="D16" s="51"/>
      <c r="E16" s="51"/>
      <c r="F16" s="58">
        <v>27908</v>
      </c>
      <c r="G16" s="58"/>
      <c r="H16" s="59">
        <f>F16-G16</f>
        <v>27908</v>
      </c>
      <c r="I16" s="60">
        <v>32864</v>
      </c>
      <c r="J16" s="61"/>
      <c r="K16" s="62">
        <f>I16-J16</f>
        <v>32864</v>
      </c>
      <c r="L16" s="63">
        <v>23680</v>
      </c>
      <c r="M16" s="61"/>
      <c r="N16" s="62">
        <f>L16-M16</f>
        <v>23680</v>
      </c>
      <c r="O16" s="37"/>
      <c r="P16" s="64">
        <f t="shared" si="3"/>
        <v>84452</v>
      </c>
      <c r="Q16" s="64">
        <f>G16+J16+M16</f>
        <v>0</v>
      </c>
      <c r="R16" s="64">
        <f>P16-Q16</f>
        <v>84452</v>
      </c>
      <c r="U16" s="1" t="s">
        <v>126</v>
      </c>
      <c r="V16" s="153">
        <f>F17+F24+L17+L24</f>
        <v>1560415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577850</v>
      </c>
      <c r="G17" s="66">
        <f>SUM(G18:G23)</f>
        <v>0</v>
      </c>
      <c r="H17" s="67">
        <f t="shared" ref="H17" si="4">SUM(H18:H23)</f>
        <v>577850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514440</v>
      </c>
      <c r="M17" s="66">
        <f>SUM(M18:M23)</f>
        <v>0</v>
      </c>
      <c r="N17" s="67">
        <f t="shared" ref="N17" si="6">SUM(N18:N23)</f>
        <v>514440</v>
      </c>
      <c r="O17" s="48"/>
      <c r="P17" s="101">
        <f>SUM(P18:P23)</f>
        <v>1092290</v>
      </c>
      <c r="Q17" s="101">
        <f t="shared" ref="Q17:R17" si="7">SUM(Q18:Q23)</f>
        <v>0</v>
      </c>
      <c r="R17" s="67">
        <f t="shared" si="7"/>
        <v>1092290</v>
      </c>
      <c r="U17" s="1" t="s">
        <v>127</v>
      </c>
      <c r="V17" s="153">
        <f>F24+L24</f>
        <v>468125</v>
      </c>
      <c r="W17" s="1">
        <f>V17/V16</f>
        <v>0.30000032042757857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335153</v>
      </c>
      <c r="G18" s="58"/>
      <c r="H18" s="59">
        <f t="shared" ref="H18:H23" si="8">F18-G18</f>
        <v>335153</v>
      </c>
      <c r="I18" s="60"/>
      <c r="J18" s="61"/>
      <c r="K18" s="62">
        <f t="shared" ref="K18:K23" si="9">I18-J18</f>
        <v>0</v>
      </c>
      <c r="L18" s="63">
        <v>298375</v>
      </c>
      <c r="M18" s="61"/>
      <c r="N18" s="62">
        <f t="shared" ref="N18:N23" si="10">L18-M18</f>
        <v>298375</v>
      </c>
      <c r="O18" s="37"/>
      <c r="P18" s="64">
        <f t="shared" ref="P18:P23" si="11">F18+I18+L18</f>
        <v>633528</v>
      </c>
      <c r="Q18" s="64">
        <f>G18+J18+M18</f>
        <v>0</v>
      </c>
      <c r="R18" s="64">
        <f t="shared" ref="R18:R23" si="12">P18-Q18</f>
        <v>633528</v>
      </c>
      <c r="U18" s="1" t="s">
        <v>128</v>
      </c>
      <c r="V18" s="153">
        <f>G24+M24</f>
        <v>0</v>
      </c>
      <c r="W18" s="154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242697</v>
      </c>
      <c r="G19" s="58"/>
      <c r="H19" s="59">
        <f t="shared" si="8"/>
        <v>242697</v>
      </c>
      <c r="I19" s="60"/>
      <c r="J19" s="61"/>
      <c r="K19" s="62">
        <f t="shared" si="9"/>
        <v>0</v>
      </c>
      <c r="L19" s="63">
        <v>216065</v>
      </c>
      <c r="M19" s="61"/>
      <c r="N19" s="62">
        <f t="shared" si="10"/>
        <v>216065</v>
      </c>
      <c r="O19" s="37"/>
      <c r="P19" s="64">
        <f t="shared" si="11"/>
        <v>458762</v>
      </c>
      <c r="Q19" s="64">
        <f>G19+J19+M19</f>
        <v>0</v>
      </c>
      <c r="R19" s="64">
        <f t="shared" si="12"/>
        <v>458762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247650</v>
      </c>
      <c r="G24" s="66">
        <f>SUM(G25:G32)</f>
        <v>0</v>
      </c>
      <c r="H24" s="67">
        <f>SUM(H25:H32)</f>
        <v>247650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220475</v>
      </c>
      <c r="M24" s="66">
        <f t="shared" ref="M24:N24" si="15">SUM(M25:M32)</f>
        <v>0</v>
      </c>
      <c r="N24" s="67">
        <f t="shared" si="15"/>
        <v>220475</v>
      </c>
      <c r="O24" s="48"/>
      <c r="P24" s="101">
        <f>SUM(P25:P32)</f>
        <v>468125</v>
      </c>
      <c r="Q24" s="101">
        <f t="shared" ref="Q24:R24" si="16">SUM(Q25:Q32)</f>
        <v>0</v>
      </c>
      <c r="R24" s="67">
        <f t="shared" si="16"/>
        <v>468125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99060</v>
      </c>
      <c r="G25" s="58"/>
      <c r="H25" s="59">
        <f>F25-G25</f>
        <v>99060</v>
      </c>
      <c r="I25" s="60"/>
      <c r="J25" s="61"/>
      <c r="K25" s="62">
        <f>I25-J25</f>
        <v>0</v>
      </c>
      <c r="L25" s="63">
        <v>88190</v>
      </c>
      <c r="M25" s="61"/>
      <c r="N25" s="62">
        <f>L25-M25</f>
        <v>88190</v>
      </c>
      <c r="O25" s="37"/>
      <c r="P25" s="64">
        <f t="shared" ref="P25:Q43" si="17">F25+I25+L25</f>
        <v>187250</v>
      </c>
      <c r="Q25" s="64">
        <f>G25+J25+M25</f>
        <v>0</v>
      </c>
      <c r="R25" s="64">
        <f>P25-Q25</f>
        <v>187250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148590</v>
      </c>
      <c r="G26" s="58"/>
      <c r="H26" s="59">
        <f>F26-G26</f>
        <v>148590</v>
      </c>
      <c r="I26" s="60"/>
      <c r="J26" s="61"/>
      <c r="K26" s="62">
        <f>I26-J26</f>
        <v>0</v>
      </c>
      <c r="L26" s="63">
        <v>132285</v>
      </c>
      <c r="M26" s="61"/>
      <c r="N26" s="62">
        <f>L26-M26</f>
        <v>132285</v>
      </c>
      <c r="O26" s="37"/>
      <c r="P26" s="64">
        <f t="shared" si="17"/>
        <v>280875</v>
      </c>
      <c r="Q26" s="64">
        <f>G26+J26+M26</f>
        <v>0</v>
      </c>
      <c r="R26" s="64">
        <f>P26-Q26</f>
        <v>280875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931707</v>
      </c>
      <c r="J33" s="66">
        <f>SUM(J34:J43)</f>
        <v>0</v>
      </c>
      <c r="K33" s="67">
        <f>SUM(K34:K43)</f>
        <v>931707</v>
      </c>
      <c r="L33" s="66"/>
      <c r="M33" s="66"/>
      <c r="N33" s="67"/>
      <c r="O33" s="48"/>
      <c r="P33" s="101">
        <f>SUM(P34:P43)</f>
        <v>931707</v>
      </c>
      <c r="Q33" s="101">
        <f>SUM(Q34:Q43)</f>
        <v>0</v>
      </c>
      <c r="R33" s="67">
        <f>SUM(R34:R43)</f>
        <v>931707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93171</v>
      </c>
      <c r="J34" s="58"/>
      <c r="K34" s="59">
        <f t="shared" ref="K34:K43" si="23">I34-J34</f>
        <v>93171</v>
      </c>
      <c r="L34" s="199"/>
      <c r="M34" s="189"/>
      <c r="N34" s="190"/>
      <c r="O34" s="37"/>
      <c r="P34" s="59">
        <f t="shared" si="17"/>
        <v>93171</v>
      </c>
      <c r="Q34" s="59">
        <f t="shared" si="17"/>
        <v>0</v>
      </c>
      <c r="R34" s="59">
        <f t="shared" ref="R34:R43" si="24">P34-Q34</f>
        <v>93171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/>
      <c r="J35" s="58"/>
      <c r="K35" s="59">
        <f t="shared" si="23"/>
        <v>0</v>
      </c>
      <c r="L35" s="200"/>
      <c r="M35" s="192"/>
      <c r="N35" s="193"/>
      <c r="O35" s="37"/>
      <c r="P35" s="59">
        <f t="shared" si="17"/>
        <v>0</v>
      </c>
      <c r="Q35" s="59">
        <f t="shared" si="17"/>
        <v>0</v>
      </c>
      <c r="R35" s="59">
        <f t="shared" si="24"/>
        <v>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/>
      <c r="J36" s="58"/>
      <c r="K36" s="59">
        <f t="shared" si="23"/>
        <v>0</v>
      </c>
      <c r="L36" s="200"/>
      <c r="M36" s="192"/>
      <c r="N36" s="193"/>
      <c r="O36" s="37"/>
      <c r="P36" s="59">
        <f t="shared" si="17"/>
        <v>0</v>
      </c>
      <c r="Q36" s="59">
        <f t="shared" si="17"/>
        <v>0</v>
      </c>
      <c r="R36" s="59">
        <f t="shared" si="24"/>
        <v>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447219</v>
      </c>
      <c r="J37" s="58"/>
      <c r="K37" s="59">
        <f t="shared" si="23"/>
        <v>447219</v>
      </c>
      <c r="L37" s="200"/>
      <c r="M37" s="192"/>
      <c r="N37" s="193"/>
      <c r="O37" s="37"/>
      <c r="P37" s="59">
        <f t="shared" si="17"/>
        <v>447219</v>
      </c>
      <c r="Q37" s="59">
        <f t="shared" si="17"/>
        <v>0</v>
      </c>
      <c r="R37" s="59">
        <f t="shared" si="24"/>
        <v>447219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93171</v>
      </c>
      <c r="J39" s="58"/>
      <c r="K39" s="59">
        <f t="shared" si="23"/>
        <v>93171</v>
      </c>
      <c r="L39" s="200"/>
      <c r="M39" s="192"/>
      <c r="N39" s="193"/>
      <c r="O39" s="37"/>
      <c r="P39" s="59">
        <f t="shared" si="17"/>
        <v>93171</v>
      </c>
      <c r="Q39" s="59">
        <f t="shared" si="17"/>
        <v>0</v>
      </c>
      <c r="R39" s="59">
        <f t="shared" si="24"/>
        <v>93171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298146</v>
      </c>
      <c r="J42" s="74"/>
      <c r="K42" s="75">
        <f t="shared" si="23"/>
        <v>298146</v>
      </c>
      <c r="L42" s="200"/>
      <c r="M42" s="192"/>
      <c r="N42" s="193"/>
      <c r="O42" s="37"/>
      <c r="P42" s="59">
        <f t="shared" si="17"/>
        <v>298146</v>
      </c>
      <c r="Q42" s="59">
        <f t="shared" si="17"/>
        <v>0</v>
      </c>
      <c r="R42" s="59">
        <f t="shared" si="24"/>
        <v>298146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891947</v>
      </c>
      <c r="G44" s="106">
        <f t="shared" si="25"/>
        <v>0</v>
      </c>
      <c r="H44" s="106">
        <f t="shared" si="25"/>
        <v>891947</v>
      </c>
      <c r="I44" s="105">
        <f t="shared" si="25"/>
        <v>1009955</v>
      </c>
      <c r="J44" s="105">
        <f t="shared" si="25"/>
        <v>0</v>
      </c>
      <c r="K44" s="105">
        <f t="shared" si="25"/>
        <v>1009955</v>
      </c>
      <c r="L44" s="105">
        <f t="shared" si="25"/>
        <v>791297</v>
      </c>
      <c r="M44" s="105">
        <f t="shared" si="25"/>
        <v>0</v>
      </c>
      <c r="N44" s="105">
        <f t="shared" si="25"/>
        <v>791297</v>
      </c>
      <c r="O44" s="37"/>
      <c r="P44" s="105">
        <f>P14+P17+P24+P33</f>
        <v>2693199</v>
      </c>
      <c r="Q44" s="105">
        <f>Q14+Q17+Q24+Q33</f>
        <v>0</v>
      </c>
      <c r="R44" s="105">
        <f>R14+R17+R24+R33</f>
        <v>2693199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>Calculation Error</v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>WBT ERROR</v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210" t="s">
        <v>81</v>
      </c>
      <c r="B62" s="210"/>
      <c r="C62" s="210"/>
      <c r="D62" s="210"/>
      <c r="E62" s="210"/>
      <c r="F62" s="210"/>
    </row>
    <row r="63" spans="1:15" x14ac:dyDescent="0.25">
      <c r="C63" s="119" t="s">
        <v>78</v>
      </c>
      <c r="D63" s="118">
        <f>F10*0.1</f>
        <v>89069.686000000002</v>
      </c>
      <c r="E63" s="118">
        <f>I10*0.1</f>
        <v>103523</v>
      </c>
      <c r="F63" s="118">
        <f>L10*0.1</f>
        <v>79065.634000000005</v>
      </c>
    </row>
    <row r="64" spans="1:15" x14ac:dyDescent="0.25">
      <c r="C64" s="119" t="s">
        <v>79</v>
      </c>
      <c r="D64" s="118">
        <f>-F13</f>
        <v>-25275.15</v>
      </c>
      <c r="E64" s="120">
        <f>-I13</f>
        <v>-25275.14</v>
      </c>
      <c r="F64" s="120">
        <f>-L13</f>
        <v>-25275.14</v>
      </c>
    </row>
    <row r="65" spans="3:6" x14ac:dyDescent="0.25">
      <c r="C65" s="119" t="s">
        <v>80</v>
      </c>
      <c r="D65" s="118">
        <f>SUM(D63:D64)</f>
        <v>63794.536</v>
      </c>
      <c r="E65" s="118">
        <f t="shared" ref="E65:F65" si="26">SUM(E63:E64)</f>
        <v>78247.86</v>
      </c>
      <c r="F65" s="118">
        <f t="shared" si="26"/>
        <v>53790.494000000006</v>
      </c>
    </row>
    <row r="66" spans="3:6" x14ac:dyDescent="0.25">
      <c r="C66" s="1"/>
      <c r="D66" s="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O74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1406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57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1007972-4738.61+F11+2942.22</f>
        <v>1306175.6100000001</v>
      </c>
      <c r="G10" s="22">
        <f>G44</f>
        <v>0</v>
      </c>
      <c r="H10" s="23">
        <f>F10-G10</f>
        <v>1306175.6100000001</v>
      </c>
      <c r="I10" s="22">
        <v>1344277</v>
      </c>
      <c r="J10" s="22">
        <f>J44</f>
        <v>0</v>
      </c>
      <c r="K10" s="23">
        <f>I10-J10</f>
        <v>1344277</v>
      </c>
      <c r="L10" s="22">
        <f>825883-8345-F11+6773.19</f>
        <v>524311.18999999994</v>
      </c>
      <c r="M10" s="22">
        <f>M44</f>
        <v>0</v>
      </c>
      <c r="N10" s="23">
        <f>L10-M10</f>
        <v>524311.18999999994</v>
      </c>
      <c r="O10" s="24"/>
      <c r="P10" s="22">
        <f>F10+I10+L10</f>
        <v>3174763.8000000003</v>
      </c>
      <c r="Q10" s="22">
        <f>Q41</f>
        <v>0</v>
      </c>
      <c r="R10" s="23">
        <f>P10-Q10</f>
        <v>3174763.8000000003</v>
      </c>
    </row>
    <row r="11" spans="1:41" ht="15.75" thickTop="1" x14ac:dyDescent="0.25">
      <c r="E11" s="157" t="s">
        <v>133</v>
      </c>
      <c r="F11" s="159">
        <v>300000</v>
      </c>
      <c r="H11" s="6"/>
      <c r="K11" s="6"/>
      <c r="L11" s="159">
        <v>-300000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130618</v>
      </c>
      <c r="G14" s="32">
        <f>SUM(G15:G16)</f>
        <v>0</v>
      </c>
      <c r="H14" s="33">
        <f>SUM(H15:H16)</f>
        <v>130618</v>
      </c>
      <c r="I14" s="32">
        <f>SUM(I15:I16)</f>
        <v>134427</v>
      </c>
      <c r="J14" s="32">
        <f t="shared" ref="J14:K14" si="0">SUM(J15:J16)</f>
        <v>0</v>
      </c>
      <c r="K14" s="33">
        <f t="shared" si="0"/>
        <v>134427</v>
      </c>
      <c r="L14" s="32">
        <f>SUM(L15:L16)</f>
        <v>52431</v>
      </c>
      <c r="M14" s="32">
        <f t="shared" ref="M14:N14" si="1">SUM(M15:M16)</f>
        <v>0</v>
      </c>
      <c r="N14" s="33">
        <f t="shared" si="1"/>
        <v>52431</v>
      </c>
      <c r="O14" s="34"/>
      <c r="P14" s="99">
        <f>SUM(P15:P16)</f>
        <v>317476</v>
      </c>
      <c r="Q14" s="99">
        <f t="shared" ref="Q14:R14" si="2">SUM(Q15:Q16)</f>
        <v>0</v>
      </c>
      <c r="R14" s="33">
        <f t="shared" si="2"/>
        <v>317476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138">
        <v>103188</v>
      </c>
      <c r="G15" s="58"/>
      <c r="H15" s="59">
        <f>F15-G15</f>
        <v>103188</v>
      </c>
      <c r="I15" s="81">
        <v>91410</v>
      </c>
      <c r="J15" s="58"/>
      <c r="K15" s="59">
        <f>I15-J15</f>
        <v>91410</v>
      </c>
      <c r="L15" s="170">
        <v>38799</v>
      </c>
      <c r="M15" s="58"/>
      <c r="N15" s="59">
        <f>L15-M15</f>
        <v>38799</v>
      </c>
      <c r="O15" s="37"/>
      <c r="P15" s="64">
        <f t="shared" ref="P15:P16" si="3">F15+I15+L15</f>
        <v>233397</v>
      </c>
      <c r="Q15" s="64">
        <f>G15+J15+M15</f>
        <v>0</v>
      </c>
      <c r="R15" s="64">
        <f>P15-Q15</f>
        <v>233397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138">
        <v>27430</v>
      </c>
      <c r="G16" s="58"/>
      <c r="H16" s="59">
        <f>F16-G16</f>
        <v>27430</v>
      </c>
      <c r="I16" s="81">
        <v>43017</v>
      </c>
      <c r="J16" s="58"/>
      <c r="K16" s="59">
        <f>I16-J16</f>
        <v>43017</v>
      </c>
      <c r="L16" s="170">
        <v>13632</v>
      </c>
      <c r="M16" s="58"/>
      <c r="N16" s="59">
        <f>L16-M16</f>
        <v>13632</v>
      </c>
      <c r="O16" s="37"/>
      <c r="P16" s="64">
        <f t="shared" si="3"/>
        <v>84079</v>
      </c>
      <c r="Q16" s="64">
        <f>G16+J16+M16</f>
        <v>0</v>
      </c>
      <c r="R16" s="64">
        <f>P16-Q16</f>
        <v>84079</v>
      </c>
      <c r="U16" s="1" t="s">
        <v>126</v>
      </c>
      <c r="V16" s="153">
        <f>F17+F24+L17+L24</f>
        <v>1647438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862076</v>
      </c>
      <c r="G17" s="66">
        <f>SUM(G18:G23)</f>
        <v>0</v>
      </c>
      <c r="H17" s="67">
        <f t="shared" ref="H17" si="4">SUM(H18:H23)</f>
        <v>862076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349191</v>
      </c>
      <c r="M17" s="66">
        <f>SUM(M18:M23)</f>
        <v>0</v>
      </c>
      <c r="N17" s="67">
        <f t="shared" ref="N17" si="6">SUM(N18:N23)</f>
        <v>349191</v>
      </c>
      <c r="O17" s="48"/>
      <c r="P17" s="101">
        <f>SUM(P18:P23)</f>
        <v>1211267</v>
      </c>
      <c r="Q17" s="101">
        <f t="shared" ref="Q17:R17" si="7">SUM(Q18:Q23)</f>
        <v>0</v>
      </c>
      <c r="R17" s="67">
        <f t="shared" si="7"/>
        <v>1211267</v>
      </c>
      <c r="U17" s="1" t="s">
        <v>127</v>
      </c>
      <c r="V17" s="153">
        <f>F24+L24</f>
        <v>436171</v>
      </c>
      <c r="W17" s="1">
        <f>V17/V16</f>
        <v>0.26475715626324026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138">
        <v>620695</v>
      </c>
      <c r="G18" s="58"/>
      <c r="H18" s="59">
        <f t="shared" ref="H18:H23" si="8">F18-G18</f>
        <v>620695</v>
      </c>
      <c r="I18" s="82"/>
      <c r="J18" s="83"/>
      <c r="K18" s="62">
        <f t="shared" ref="K18:K23" si="9">I18-J18</f>
        <v>0</v>
      </c>
      <c r="L18" s="170">
        <v>244434</v>
      </c>
      <c r="M18" s="58"/>
      <c r="N18" s="59">
        <f t="shared" ref="N18:N23" si="10">L18-M18</f>
        <v>244434</v>
      </c>
      <c r="O18" s="37"/>
      <c r="P18" s="64">
        <f t="shared" ref="P18:P23" si="11">F18+I18+L18</f>
        <v>865129</v>
      </c>
      <c r="Q18" s="64">
        <f>G18+J18+M18</f>
        <v>0</v>
      </c>
      <c r="R18" s="64">
        <f t="shared" ref="R18:R23" si="12">P18-Q18</f>
        <v>865129</v>
      </c>
      <c r="U18" s="1" t="s">
        <v>128</v>
      </c>
      <c r="V18" s="153">
        <f>G24+M24</f>
        <v>0</v>
      </c>
      <c r="W18" s="154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138">
        <v>86207</v>
      </c>
      <c r="G19" s="58"/>
      <c r="H19" s="59">
        <f t="shared" si="8"/>
        <v>86207</v>
      </c>
      <c r="I19" s="82"/>
      <c r="J19" s="83"/>
      <c r="K19" s="62">
        <f t="shared" si="9"/>
        <v>0</v>
      </c>
      <c r="L19" s="170">
        <v>27935</v>
      </c>
      <c r="M19" s="58"/>
      <c r="N19" s="59">
        <f t="shared" si="10"/>
        <v>27935</v>
      </c>
      <c r="O19" s="37"/>
      <c r="P19" s="64">
        <f t="shared" si="11"/>
        <v>114142</v>
      </c>
      <c r="Q19" s="64">
        <f>G19+J19+M19</f>
        <v>0</v>
      </c>
      <c r="R19" s="64">
        <f t="shared" si="12"/>
        <v>114142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138">
        <v>154512</v>
      </c>
      <c r="G20" s="58"/>
      <c r="H20" s="59">
        <f t="shared" si="8"/>
        <v>154512</v>
      </c>
      <c r="I20" s="82"/>
      <c r="J20" s="61"/>
      <c r="K20" s="62">
        <f t="shared" si="9"/>
        <v>0</v>
      </c>
      <c r="L20" s="139">
        <v>75187</v>
      </c>
      <c r="M20" s="61"/>
      <c r="N20" s="62">
        <f t="shared" si="10"/>
        <v>75187</v>
      </c>
      <c r="O20" s="37"/>
      <c r="P20" s="64">
        <f t="shared" si="11"/>
        <v>229699</v>
      </c>
      <c r="Q20" s="64">
        <f>G20+J20+M20</f>
        <v>0</v>
      </c>
      <c r="R20" s="64">
        <f t="shared" si="12"/>
        <v>229699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82"/>
      <c r="J21" s="70"/>
      <c r="K21" s="71">
        <f t="shared" si="9"/>
        <v>0</v>
      </c>
      <c r="L21" s="63"/>
      <c r="M21" s="61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82"/>
      <c r="J22" s="70"/>
      <c r="K22" s="71">
        <f t="shared" si="9"/>
        <v>0</v>
      </c>
      <c r="L22" s="63"/>
      <c r="M22" s="61"/>
      <c r="N22" s="62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141">
        <v>662</v>
      </c>
      <c r="G23" s="74"/>
      <c r="H23" s="75">
        <f t="shared" si="8"/>
        <v>662</v>
      </c>
      <c r="I23" s="84"/>
      <c r="J23" s="77"/>
      <c r="K23" s="78">
        <f t="shared" si="9"/>
        <v>0</v>
      </c>
      <c r="L23" s="152">
        <v>1635</v>
      </c>
      <c r="M23" s="77"/>
      <c r="N23" s="78">
        <f t="shared" si="10"/>
        <v>1635</v>
      </c>
      <c r="O23" s="37"/>
      <c r="P23" s="64">
        <f t="shared" si="11"/>
        <v>2297</v>
      </c>
      <c r="Q23" s="64">
        <f>G23+J23+M23</f>
        <v>0</v>
      </c>
      <c r="R23" s="64">
        <f t="shared" si="12"/>
        <v>2297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313482</v>
      </c>
      <c r="G24" s="66">
        <f>SUM(G25:G32)</f>
        <v>0</v>
      </c>
      <c r="H24" s="67">
        <f>SUM(H25:H32)</f>
        <v>313482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122689</v>
      </c>
      <c r="M24" s="66">
        <f t="shared" ref="M24:N24" si="15">SUM(M25:M32)</f>
        <v>0</v>
      </c>
      <c r="N24" s="67">
        <f t="shared" si="15"/>
        <v>122689</v>
      </c>
      <c r="O24" s="48"/>
      <c r="P24" s="101">
        <f>SUM(P25:P32)</f>
        <v>436171</v>
      </c>
      <c r="Q24" s="101">
        <f t="shared" ref="Q24:R24" si="16">SUM(Q25:Q32)</f>
        <v>0</v>
      </c>
      <c r="R24" s="67">
        <f t="shared" si="16"/>
        <v>436171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138">
        <v>169039</v>
      </c>
      <c r="G25" s="58"/>
      <c r="H25" s="59">
        <f>F25-G25</f>
        <v>169039</v>
      </c>
      <c r="I25" s="82"/>
      <c r="J25" s="61"/>
      <c r="K25" s="62">
        <f>I25-J25</f>
        <v>0</v>
      </c>
      <c r="L25" s="139">
        <v>85882</v>
      </c>
      <c r="M25" s="61"/>
      <c r="N25" s="62">
        <f>L25-M25</f>
        <v>85882</v>
      </c>
      <c r="O25" s="37"/>
      <c r="P25" s="64">
        <f t="shared" ref="P25:Q43" si="17">F25+I25+L25</f>
        <v>254921</v>
      </c>
      <c r="Q25" s="64">
        <f>G25+J25+M25</f>
        <v>0</v>
      </c>
      <c r="R25" s="64">
        <f>P25-Q25</f>
        <v>254921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138">
        <v>94044</v>
      </c>
      <c r="G26" s="58"/>
      <c r="H26" s="59">
        <f>F26-G26</f>
        <v>94044</v>
      </c>
      <c r="I26" s="82"/>
      <c r="J26" s="61"/>
      <c r="K26" s="62">
        <f>I26-J26</f>
        <v>0</v>
      </c>
      <c r="L26" s="139">
        <v>36807</v>
      </c>
      <c r="M26" s="61"/>
      <c r="N26" s="62">
        <f>L26-M26</f>
        <v>36807</v>
      </c>
      <c r="O26" s="37"/>
      <c r="P26" s="64">
        <f t="shared" si="17"/>
        <v>130851</v>
      </c>
      <c r="Q26" s="64">
        <f>G26+J26+M26</f>
        <v>0</v>
      </c>
      <c r="R26" s="64">
        <f>P26-Q26</f>
        <v>130851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82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82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82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>
        <v>50399</v>
      </c>
      <c r="G30" s="58"/>
      <c r="H30" s="59">
        <f t="shared" si="20"/>
        <v>50399</v>
      </c>
      <c r="I30" s="82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50399</v>
      </c>
      <c r="Q30" s="64">
        <f t="shared" si="18"/>
        <v>0</v>
      </c>
      <c r="R30" s="64">
        <f t="shared" si="22"/>
        <v>50399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82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82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1209850</v>
      </c>
      <c r="J33" s="66">
        <f>SUM(J34:J43)</f>
        <v>0</v>
      </c>
      <c r="K33" s="67">
        <f>SUM(K34:K43)</f>
        <v>1209850</v>
      </c>
      <c r="L33" s="66"/>
      <c r="M33" s="66"/>
      <c r="N33" s="67"/>
      <c r="O33" s="48"/>
      <c r="P33" s="101">
        <f>SUM(P34:P43)</f>
        <v>1209850</v>
      </c>
      <c r="Q33" s="101">
        <f>SUM(Q34:Q43)</f>
        <v>0</v>
      </c>
      <c r="R33" s="67">
        <f>SUM(R34:R43)</f>
        <v>1209850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230000</v>
      </c>
      <c r="J34" s="58"/>
      <c r="K34" s="59">
        <f t="shared" ref="K34:K43" si="23">I34-J34</f>
        <v>230000</v>
      </c>
      <c r="L34" s="199"/>
      <c r="M34" s="189"/>
      <c r="N34" s="190"/>
      <c r="O34" s="37"/>
      <c r="P34" s="59">
        <f t="shared" si="17"/>
        <v>230000</v>
      </c>
      <c r="Q34" s="59">
        <f t="shared" si="17"/>
        <v>0</v>
      </c>
      <c r="R34" s="59">
        <f t="shared" ref="R34:R43" si="24">P34-Q34</f>
        <v>230000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20000</v>
      </c>
      <c r="J35" s="58"/>
      <c r="K35" s="59">
        <f t="shared" si="23"/>
        <v>20000</v>
      </c>
      <c r="L35" s="200"/>
      <c r="M35" s="192"/>
      <c r="N35" s="193"/>
      <c r="O35" s="37"/>
      <c r="P35" s="59">
        <f t="shared" si="17"/>
        <v>20000</v>
      </c>
      <c r="Q35" s="59">
        <f t="shared" si="17"/>
        <v>0</v>
      </c>
      <c r="R35" s="59">
        <f t="shared" si="24"/>
        <v>20000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143000</v>
      </c>
      <c r="J36" s="58"/>
      <c r="K36" s="59">
        <f t="shared" si="23"/>
        <v>143000</v>
      </c>
      <c r="L36" s="200"/>
      <c r="M36" s="192"/>
      <c r="N36" s="193"/>
      <c r="O36" s="37"/>
      <c r="P36" s="59">
        <f t="shared" si="17"/>
        <v>143000</v>
      </c>
      <c r="Q36" s="59">
        <f t="shared" si="17"/>
        <v>0</v>
      </c>
      <c r="R36" s="59">
        <f t="shared" si="24"/>
        <v>143000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538750</v>
      </c>
      <c r="J37" s="58"/>
      <c r="K37" s="59">
        <f t="shared" si="23"/>
        <v>538750</v>
      </c>
      <c r="L37" s="200"/>
      <c r="M37" s="192"/>
      <c r="N37" s="193"/>
      <c r="O37" s="37"/>
      <c r="P37" s="59">
        <f t="shared" si="17"/>
        <v>538750</v>
      </c>
      <c r="Q37" s="59">
        <f t="shared" si="17"/>
        <v>0</v>
      </c>
      <c r="R37" s="59">
        <f t="shared" si="24"/>
        <v>538750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27050</v>
      </c>
      <c r="J39" s="58"/>
      <c r="K39" s="59">
        <f t="shared" si="23"/>
        <v>27050</v>
      </c>
      <c r="L39" s="200"/>
      <c r="M39" s="192"/>
      <c r="N39" s="193"/>
      <c r="O39" s="37"/>
      <c r="P39" s="59">
        <f t="shared" si="17"/>
        <v>27050</v>
      </c>
      <c r="Q39" s="59">
        <f t="shared" si="17"/>
        <v>0</v>
      </c>
      <c r="R39" s="59">
        <f t="shared" si="24"/>
        <v>27050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8750</v>
      </c>
      <c r="J40" s="58"/>
      <c r="K40" s="59">
        <f t="shared" si="23"/>
        <v>8750</v>
      </c>
      <c r="L40" s="200"/>
      <c r="M40" s="192"/>
      <c r="N40" s="193"/>
      <c r="O40" s="37"/>
      <c r="P40" s="59">
        <f t="shared" si="17"/>
        <v>8750</v>
      </c>
      <c r="Q40" s="59">
        <f t="shared" si="17"/>
        <v>0</v>
      </c>
      <c r="R40" s="59">
        <f t="shared" si="24"/>
        <v>8750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25300</v>
      </c>
      <c r="J41" s="58"/>
      <c r="K41" s="59">
        <f t="shared" si="23"/>
        <v>25300</v>
      </c>
      <c r="L41" s="200"/>
      <c r="M41" s="192"/>
      <c r="N41" s="193"/>
      <c r="O41" s="37"/>
      <c r="P41" s="59">
        <f t="shared" si="17"/>
        <v>25300</v>
      </c>
      <c r="Q41" s="59">
        <f t="shared" si="17"/>
        <v>0</v>
      </c>
      <c r="R41" s="59">
        <f t="shared" si="24"/>
        <v>25300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217000</v>
      </c>
      <c r="J42" s="74"/>
      <c r="K42" s="75">
        <f t="shared" si="23"/>
        <v>217000</v>
      </c>
      <c r="L42" s="200"/>
      <c r="M42" s="192"/>
      <c r="N42" s="193"/>
      <c r="O42" s="37"/>
      <c r="P42" s="59">
        <f t="shared" si="17"/>
        <v>217000</v>
      </c>
      <c r="Q42" s="59">
        <f t="shared" si="17"/>
        <v>0</v>
      </c>
      <c r="R42" s="59">
        <f t="shared" si="24"/>
        <v>217000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1306176</v>
      </c>
      <c r="G44" s="106">
        <f t="shared" si="25"/>
        <v>0</v>
      </c>
      <c r="H44" s="106">
        <f t="shared" si="25"/>
        <v>1306176</v>
      </c>
      <c r="I44" s="107">
        <f t="shared" si="25"/>
        <v>1344277</v>
      </c>
      <c r="J44" s="105">
        <f t="shared" si="25"/>
        <v>0</v>
      </c>
      <c r="K44" s="105">
        <f t="shared" si="25"/>
        <v>1344277</v>
      </c>
      <c r="L44" s="105">
        <f t="shared" si="25"/>
        <v>524311</v>
      </c>
      <c r="M44" s="105">
        <f t="shared" si="25"/>
        <v>0</v>
      </c>
      <c r="N44" s="105">
        <f t="shared" si="25"/>
        <v>524311</v>
      </c>
      <c r="O44" s="37"/>
      <c r="P44" s="105">
        <f t="shared" ref="P44:R44" si="26">P14+P17+P24+P33</f>
        <v>3174764</v>
      </c>
      <c r="Q44" s="105">
        <f t="shared" si="26"/>
        <v>0</v>
      </c>
      <c r="R44" s="105">
        <f t="shared" si="26"/>
        <v>3174764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92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92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92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3" t="s">
        <v>85</v>
      </c>
      <c r="B55" s="203"/>
      <c r="C55" s="203"/>
      <c r="D55" s="203"/>
      <c r="E55" s="203"/>
      <c r="F55" s="203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203" t="s">
        <v>156</v>
      </c>
      <c r="B59" s="203"/>
      <c r="C59" s="203"/>
      <c r="D59" s="203"/>
      <c r="E59" s="203"/>
      <c r="F59" s="203"/>
    </row>
    <row r="60" spans="1:15" x14ac:dyDescent="0.25">
      <c r="A60" s="203" t="s">
        <v>157</v>
      </c>
      <c r="B60" s="203"/>
      <c r="C60" s="203"/>
      <c r="D60" s="203"/>
      <c r="E60" s="203"/>
      <c r="F60" s="203"/>
    </row>
    <row r="61" spans="1:15" x14ac:dyDescent="0.25">
      <c r="A61" s="203" t="s">
        <v>158</v>
      </c>
      <c r="B61" s="203"/>
      <c r="C61" s="203"/>
      <c r="D61" s="203"/>
      <c r="E61" s="203"/>
      <c r="F61" s="203"/>
      <c r="G61" s="169"/>
      <c r="I61" s="168"/>
    </row>
    <row r="62" spans="1:15" x14ac:dyDescent="0.25">
      <c r="A62" s="169" t="s">
        <v>159</v>
      </c>
      <c r="B62" s="169"/>
      <c r="C62" s="169"/>
      <c r="D62" s="169"/>
      <c r="E62" s="169"/>
      <c r="F62" s="169"/>
      <c r="G62" s="169"/>
    </row>
    <row r="63" spans="1:15" x14ac:dyDescent="0.25">
      <c r="A63" s="203" t="s">
        <v>160</v>
      </c>
      <c r="B63" s="203"/>
      <c r="C63" s="203"/>
      <c r="D63" s="203"/>
      <c r="E63" s="203"/>
      <c r="F63" s="203"/>
      <c r="G63" s="169"/>
    </row>
    <row r="64" spans="1:15" x14ac:dyDescent="0.25">
      <c r="A64" s="203" t="s">
        <v>161</v>
      </c>
      <c r="B64" s="203"/>
      <c r="C64" s="203"/>
      <c r="D64" s="203"/>
      <c r="E64" s="203"/>
      <c r="F64" s="203"/>
      <c r="G64" s="169"/>
    </row>
    <row r="65" spans="1:8" x14ac:dyDescent="0.25">
      <c r="A65" s="169" t="s">
        <v>162</v>
      </c>
      <c r="B65" s="169"/>
      <c r="C65" s="169"/>
      <c r="D65" s="169"/>
      <c r="E65" s="169"/>
      <c r="F65" s="169"/>
      <c r="G65" s="169"/>
    </row>
    <row r="66" spans="1:8" x14ac:dyDescent="0.25">
      <c r="A66" s="169" t="s">
        <v>163</v>
      </c>
      <c r="B66" s="169"/>
      <c r="C66" s="169"/>
      <c r="D66" s="169"/>
      <c r="E66" s="169"/>
      <c r="F66" s="169"/>
      <c r="G66" s="169"/>
    </row>
    <row r="67" spans="1:8" x14ac:dyDescent="0.25">
      <c r="A67" s="169" t="s">
        <v>164</v>
      </c>
      <c r="B67" s="169"/>
      <c r="C67" s="169"/>
      <c r="D67" s="169"/>
      <c r="E67" s="169"/>
      <c r="F67" s="169"/>
      <c r="G67" s="169"/>
    </row>
    <row r="68" spans="1:8" x14ac:dyDescent="0.25">
      <c r="A68" s="169" t="s">
        <v>165</v>
      </c>
      <c r="B68" s="169"/>
      <c r="C68" s="169"/>
      <c r="D68" s="169"/>
      <c r="E68" s="169"/>
      <c r="F68" s="169"/>
      <c r="G68" s="169"/>
    </row>
    <row r="69" spans="1:8" x14ac:dyDescent="0.25">
      <c r="A69" s="169" t="s">
        <v>166</v>
      </c>
      <c r="B69" s="169"/>
      <c r="C69" s="169"/>
      <c r="D69" s="169"/>
      <c r="E69" s="169"/>
      <c r="F69" s="169"/>
      <c r="G69" s="169"/>
    </row>
    <row r="70" spans="1:8" x14ac:dyDescent="0.25">
      <c r="A70" s="169" t="s">
        <v>167</v>
      </c>
      <c r="B70" s="169"/>
      <c r="C70" s="169"/>
      <c r="D70" s="169"/>
      <c r="E70" s="169"/>
      <c r="F70" s="169"/>
      <c r="G70" s="169"/>
    </row>
    <row r="71" spans="1:8" x14ac:dyDescent="0.25">
      <c r="A71" s="169" t="s">
        <v>168</v>
      </c>
      <c r="B71" s="169"/>
      <c r="C71" s="169"/>
      <c r="D71" s="169"/>
      <c r="E71" s="169"/>
      <c r="F71" s="169"/>
      <c r="G71" s="169"/>
    </row>
    <row r="72" spans="1:8" x14ac:dyDescent="0.25">
      <c r="A72" s="181"/>
      <c r="B72" s="181"/>
      <c r="C72" s="181"/>
      <c r="D72" s="181"/>
      <c r="E72" s="181"/>
      <c r="F72" s="181"/>
      <c r="G72" s="181"/>
      <c r="H72" s="181"/>
    </row>
    <row r="73" spans="1:8" x14ac:dyDescent="0.25">
      <c r="A73" s="181"/>
      <c r="B73" s="181"/>
      <c r="C73" s="181"/>
      <c r="D73" s="181"/>
      <c r="E73" s="181"/>
      <c r="F73" s="181"/>
      <c r="G73" s="181"/>
      <c r="H73" s="181"/>
    </row>
    <row r="74" spans="1:8" x14ac:dyDescent="0.25">
      <c r="A74" s="181"/>
      <c r="B74" s="181"/>
      <c r="C74" s="181"/>
      <c r="D74" s="181"/>
      <c r="E74" s="181"/>
      <c r="F74" s="181"/>
      <c r="G74" s="181"/>
      <c r="H74" s="181"/>
    </row>
  </sheetData>
  <customSheetViews>
    <customSheetView guid="{0A95727B-A9A6-44C2-A54C-9983FB78BBE9}">
      <selection activeCell="H16" sqref="H16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32">
    <mergeCell ref="A74:F74"/>
    <mergeCell ref="G74:H74"/>
    <mergeCell ref="A72:F72"/>
    <mergeCell ref="G72:H72"/>
    <mergeCell ref="A73:F73"/>
    <mergeCell ref="G73:H73"/>
    <mergeCell ref="A63:F63"/>
    <mergeCell ref="A64:F64"/>
    <mergeCell ref="A60:F60"/>
    <mergeCell ref="A61:F61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285156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9.28515625" style="1" customWidth="1"/>
    <col min="23" max="16384" width="9.140625" style="1"/>
  </cols>
  <sheetData>
    <row r="1" spans="1:41" ht="21" x14ac:dyDescent="0.35">
      <c r="B1" s="2" t="s">
        <v>58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1776389-12926.14+F11+7957.95</f>
        <v>1871420.81</v>
      </c>
      <c r="G10" s="22">
        <f>G44</f>
        <v>0</v>
      </c>
      <c r="H10" s="23">
        <f>F10-G10</f>
        <v>1871420.81</v>
      </c>
      <c r="I10" s="22">
        <v>1962387</v>
      </c>
      <c r="J10" s="22">
        <f>J44</f>
        <v>0</v>
      </c>
      <c r="K10" s="23">
        <f>I10-J10</f>
        <v>1962387</v>
      </c>
      <c r="L10" s="22">
        <f>1406549-13180-F11+10689.86</f>
        <v>1304058.8600000001</v>
      </c>
      <c r="M10" s="22">
        <f>M44</f>
        <v>0</v>
      </c>
      <c r="N10" s="23">
        <f>L10-M10</f>
        <v>1304058.8600000001</v>
      </c>
      <c r="O10" s="24"/>
      <c r="P10" s="22">
        <f>F10+I10+L10</f>
        <v>5137866.67</v>
      </c>
      <c r="Q10" s="22">
        <f>Q41</f>
        <v>0</v>
      </c>
      <c r="R10" s="23">
        <f>P10-Q10</f>
        <v>5137866.67</v>
      </c>
    </row>
    <row r="11" spans="1:41" ht="15.75" thickTop="1" x14ac:dyDescent="0.25">
      <c r="E11" s="157" t="s">
        <v>133</v>
      </c>
      <c r="F11" s="159">
        <v>100000</v>
      </c>
      <c r="H11" s="6"/>
      <c r="K11" s="6"/>
      <c r="L11" s="159">
        <v>-100000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177639</v>
      </c>
      <c r="G14" s="32">
        <f>SUM(G15:G16)</f>
        <v>0</v>
      </c>
      <c r="H14" s="33">
        <f>SUM(H15:H16)</f>
        <v>177639</v>
      </c>
      <c r="I14" s="32">
        <f>SUM(I15:I16)</f>
        <v>196238</v>
      </c>
      <c r="J14" s="32">
        <f t="shared" ref="J14:K14" si="0">SUM(J15:J16)</f>
        <v>0</v>
      </c>
      <c r="K14" s="33">
        <f t="shared" si="0"/>
        <v>196238</v>
      </c>
      <c r="L14" s="32">
        <f>SUM(L15:L16)</f>
        <v>140655</v>
      </c>
      <c r="M14" s="32">
        <f t="shared" ref="M14:N14" si="1">SUM(M15:M16)</f>
        <v>0</v>
      </c>
      <c r="N14" s="33">
        <f t="shared" si="1"/>
        <v>140655</v>
      </c>
      <c r="O14" s="34"/>
      <c r="P14" s="99">
        <f>SUM(P15:P16)</f>
        <v>514532</v>
      </c>
      <c r="Q14" s="99">
        <f t="shared" ref="Q14:R14" si="2">SUM(Q15:Q16)</f>
        <v>0</v>
      </c>
      <c r="R14" s="33">
        <f t="shared" si="2"/>
        <v>514532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133229</v>
      </c>
      <c r="G15" s="58"/>
      <c r="H15" s="59">
        <f>F15-G15</f>
        <v>133229</v>
      </c>
      <c r="I15" s="60">
        <v>137367</v>
      </c>
      <c r="J15" s="61"/>
      <c r="K15" s="62">
        <f>I15-J15</f>
        <v>137367</v>
      </c>
      <c r="L15" s="63">
        <v>91426</v>
      </c>
      <c r="M15" s="61"/>
      <c r="N15" s="62">
        <f>L15-M15</f>
        <v>91426</v>
      </c>
      <c r="O15" s="37"/>
      <c r="P15" s="64">
        <f t="shared" ref="P15:P16" si="3">F15+I15+L15</f>
        <v>362022</v>
      </c>
      <c r="Q15" s="64">
        <f>G15+J15+M15</f>
        <v>0</v>
      </c>
      <c r="R15" s="64">
        <f>P15-Q15</f>
        <v>362022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44410</v>
      </c>
      <c r="G16" s="58"/>
      <c r="H16" s="59">
        <f>F16-G16</f>
        <v>44410</v>
      </c>
      <c r="I16" s="60">
        <v>58871</v>
      </c>
      <c r="J16" s="61"/>
      <c r="K16" s="62">
        <f>I16-J16</f>
        <v>58871</v>
      </c>
      <c r="L16" s="63">
        <v>49229</v>
      </c>
      <c r="M16" s="61"/>
      <c r="N16" s="62">
        <f>L16-M16</f>
        <v>49229</v>
      </c>
      <c r="O16" s="37"/>
      <c r="P16" s="64">
        <f t="shared" si="3"/>
        <v>152510</v>
      </c>
      <c r="Q16" s="64">
        <f>G16+J16+M16</f>
        <v>0</v>
      </c>
      <c r="R16" s="64">
        <f>P16-Q16</f>
        <v>152510</v>
      </c>
      <c r="U16" s="1" t="s">
        <v>126</v>
      </c>
      <c r="V16" s="153">
        <f>F17+F24+L17+L24</f>
        <v>2838538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1236074</v>
      </c>
      <c r="G17" s="66">
        <f>SUM(G18:G23)</f>
        <v>0</v>
      </c>
      <c r="H17" s="67">
        <f t="shared" ref="H17" si="4">SUM(H18:H23)</f>
        <v>1236074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990894</v>
      </c>
      <c r="M17" s="66">
        <f>SUM(M18:M23)</f>
        <v>0</v>
      </c>
      <c r="N17" s="67">
        <f t="shared" ref="N17" si="6">SUM(N18:N23)</f>
        <v>990894</v>
      </c>
      <c r="O17" s="48"/>
      <c r="P17" s="101">
        <f>SUM(P18:P23)</f>
        <v>2226968</v>
      </c>
      <c r="Q17" s="101">
        <f t="shared" ref="Q17:R17" si="7">SUM(Q18:Q23)</f>
        <v>0</v>
      </c>
      <c r="R17" s="67">
        <f t="shared" si="7"/>
        <v>2226968</v>
      </c>
      <c r="U17" s="1" t="s">
        <v>127</v>
      </c>
      <c r="V17" s="153">
        <f>F24+L24</f>
        <v>611570</v>
      </c>
      <c r="W17" s="1">
        <f>V17/V16</f>
        <v>0.21545246179547359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75000</v>
      </c>
      <c r="G18" s="58"/>
      <c r="H18" s="59">
        <f t="shared" ref="H18:H23" si="8">F18-G18</f>
        <v>75000</v>
      </c>
      <c r="I18" s="60"/>
      <c r="J18" s="61"/>
      <c r="K18" s="62">
        <f t="shared" ref="K18:K23" si="9">I18-J18</f>
        <v>0</v>
      </c>
      <c r="L18" s="63">
        <v>65140</v>
      </c>
      <c r="M18" s="61"/>
      <c r="N18" s="62">
        <f t="shared" ref="N18:N23" si="10">L18-M18</f>
        <v>65140</v>
      </c>
      <c r="O18" s="37"/>
      <c r="P18" s="64">
        <f t="shared" ref="P18:P23" si="11">F18+I18+L18</f>
        <v>140140</v>
      </c>
      <c r="Q18" s="64">
        <f>G18+J18+M18</f>
        <v>0</v>
      </c>
      <c r="R18" s="64">
        <f t="shared" ref="R18:R23" si="12">P18-Q18</f>
        <v>140140</v>
      </c>
      <c r="U18" s="1" t="s">
        <v>128</v>
      </c>
      <c r="V18" s="153">
        <f>G24+M24</f>
        <v>0</v>
      </c>
      <c r="W18" s="154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101074</v>
      </c>
      <c r="G19" s="58"/>
      <c r="H19" s="59">
        <f t="shared" si="8"/>
        <v>101074</v>
      </c>
      <c r="I19" s="60"/>
      <c r="J19" s="61"/>
      <c r="K19" s="62">
        <f t="shared" si="9"/>
        <v>0</v>
      </c>
      <c r="L19" s="63">
        <v>18754</v>
      </c>
      <c r="M19" s="61"/>
      <c r="N19" s="62">
        <f t="shared" si="10"/>
        <v>18754</v>
      </c>
      <c r="O19" s="37"/>
      <c r="P19" s="64">
        <f t="shared" si="11"/>
        <v>119828</v>
      </c>
      <c r="Q19" s="64">
        <f>G19+J19+M19</f>
        <v>0</v>
      </c>
      <c r="R19" s="64">
        <f t="shared" si="12"/>
        <v>119828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857000</v>
      </c>
      <c r="G20" s="58"/>
      <c r="H20" s="59">
        <f t="shared" si="8"/>
        <v>857000</v>
      </c>
      <c r="I20" s="60"/>
      <c r="J20" s="61"/>
      <c r="K20" s="62">
        <f t="shared" si="9"/>
        <v>0</v>
      </c>
      <c r="L20" s="63">
        <v>757000</v>
      </c>
      <c r="M20" s="61"/>
      <c r="N20" s="62">
        <f t="shared" si="10"/>
        <v>757000</v>
      </c>
      <c r="O20" s="37"/>
      <c r="P20" s="64">
        <f t="shared" si="11"/>
        <v>1614000</v>
      </c>
      <c r="Q20" s="64">
        <f>G20+J20+M20</f>
        <v>0</v>
      </c>
      <c r="R20" s="64">
        <f t="shared" si="12"/>
        <v>1614000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>
        <v>203000</v>
      </c>
      <c r="G22" s="68"/>
      <c r="H22" s="69">
        <f t="shared" si="8"/>
        <v>203000</v>
      </c>
      <c r="I22" s="60"/>
      <c r="J22" s="70"/>
      <c r="K22" s="71">
        <f t="shared" si="9"/>
        <v>0</v>
      </c>
      <c r="L22" s="72">
        <v>150000</v>
      </c>
      <c r="M22" s="70"/>
      <c r="N22" s="71">
        <f t="shared" si="10"/>
        <v>150000</v>
      </c>
      <c r="O22" s="37"/>
      <c r="P22" s="73">
        <f t="shared" si="11"/>
        <v>353000</v>
      </c>
      <c r="Q22" s="64">
        <f t="shared" si="13"/>
        <v>0</v>
      </c>
      <c r="R22" s="73">
        <f t="shared" si="12"/>
        <v>353000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349750</v>
      </c>
      <c r="G24" s="66">
        <f>SUM(G25:G32)</f>
        <v>0</v>
      </c>
      <c r="H24" s="67">
        <f>SUM(H25:H32)</f>
        <v>349750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261820</v>
      </c>
      <c r="M24" s="66">
        <f t="shared" ref="M24:N24" si="15">SUM(M25:M32)</f>
        <v>0</v>
      </c>
      <c r="N24" s="67">
        <f t="shared" si="15"/>
        <v>261820</v>
      </c>
      <c r="O24" s="48"/>
      <c r="P24" s="101">
        <f>SUM(P25:P32)</f>
        <v>611570</v>
      </c>
      <c r="Q24" s="101">
        <f t="shared" ref="Q24:R24" si="16">SUM(Q25:Q32)</f>
        <v>0</v>
      </c>
      <c r="R24" s="67">
        <f t="shared" si="16"/>
        <v>611570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147000</v>
      </c>
      <c r="G25" s="58"/>
      <c r="H25" s="59">
        <f>F25-G25</f>
        <v>147000</v>
      </c>
      <c r="I25" s="60"/>
      <c r="J25" s="61"/>
      <c r="K25" s="62">
        <f>I25-J25</f>
        <v>0</v>
      </c>
      <c r="L25" s="63">
        <v>175000</v>
      </c>
      <c r="M25" s="61"/>
      <c r="N25" s="62">
        <f>L25-M25</f>
        <v>175000</v>
      </c>
      <c r="O25" s="37"/>
      <c r="P25" s="64">
        <f t="shared" ref="P25:Q43" si="17">F25+I25+L25</f>
        <v>322000</v>
      </c>
      <c r="Q25" s="64">
        <f>G25+J25+M25</f>
        <v>0</v>
      </c>
      <c r="R25" s="64">
        <f>P25-Q25</f>
        <v>322000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87000</v>
      </c>
      <c r="G26" s="58"/>
      <c r="H26" s="59">
        <f>F26-G26</f>
        <v>87000</v>
      </c>
      <c r="I26" s="60"/>
      <c r="J26" s="61"/>
      <c r="K26" s="62">
        <f>I26-J26</f>
        <v>0</v>
      </c>
      <c r="L26" s="63">
        <v>86820</v>
      </c>
      <c r="M26" s="61"/>
      <c r="N26" s="62">
        <f>L26-M26</f>
        <v>86820</v>
      </c>
      <c r="O26" s="37"/>
      <c r="P26" s="64">
        <f t="shared" si="17"/>
        <v>173820</v>
      </c>
      <c r="Q26" s="64">
        <f>G26+J26+M26</f>
        <v>0</v>
      </c>
      <c r="R26" s="64">
        <f>P26-Q26</f>
        <v>173820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>
        <v>115750</v>
      </c>
      <c r="G30" s="58"/>
      <c r="H30" s="59">
        <f t="shared" si="20"/>
        <v>115750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115750</v>
      </c>
      <c r="Q30" s="64">
        <f t="shared" si="18"/>
        <v>0</v>
      </c>
      <c r="R30" s="64">
        <f t="shared" si="22"/>
        <v>115750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1766149</v>
      </c>
      <c r="J33" s="66">
        <f>SUM(J34:J43)</f>
        <v>0</v>
      </c>
      <c r="K33" s="67">
        <f>SUM(K34:K43)</f>
        <v>1766149</v>
      </c>
      <c r="L33" s="66"/>
      <c r="M33" s="66"/>
      <c r="N33" s="67"/>
      <c r="O33" s="48"/>
      <c r="P33" s="101">
        <f>SUM(P34:P43)</f>
        <v>1766149</v>
      </c>
      <c r="Q33" s="101">
        <f>SUM(Q34:Q43)</f>
        <v>0</v>
      </c>
      <c r="R33" s="67">
        <f>SUM(R34:R43)</f>
        <v>1766149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220149</v>
      </c>
      <c r="J34" s="58"/>
      <c r="K34" s="59">
        <f t="shared" ref="K34:K43" si="23">I34-J34</f>
        <v>220149</v>
      </c>
      <c r="L34" s="199"/>
      <c r="M34" s="189"/>
      <c r="N34" s="190"/>
      <c r="O34" s="37"/>
      <c r="P34" s="59">
        <f t="shared" si="17"/>
        <v>220149</v>
      </c>
      <c r="Q34" s="59">
        <f t="shared" si="17"/>
        <v>0</v>
      </c>
      <c r="R34" s="59">
        <f t="shared" ref="R34:R43" si="24">P34-Q34</f>
        <v>220149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100000</v>
      </c>
      <c r="J35" s="58"/>
      <c r="K35" s="59">
        <f t="shared" si="23"/>
        <v>100000</v>
      </c>
      <c r="L35" s="200"/>
      <c r="M35" s="192"/>
      <c r="N35" s="193"/>
      <c r="O35" s="37"/>
      <c r="P35" s="59">
        <f t="shared" si="17"/>
        <v>100000</v>
      </c>
      <c r="Q35" s="59">
        <f t="shared" si="17"/>
        <v>0</v>
      </c>
      <c r="R35" s="59">
        <f t="shared" si="24"/>
        <v>100000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1006000</v>
      </c>
      <c r="J36" s="58"/>
      <c r="K36" s="59">
        <f t="shared" si="23"/>
        <v>1006000</v>
      </c>
      <c r="L36" s="200"/>
      <c r="M36" s="192"/>
      <c r="N36" s="193"/>
      <c r="O36" s="37"/>
      <c r="P36" s="59">
        <f t="shared" si="17"/>
        <v>1006000</v>
      </c>
      <c r="Q36" s="59">
        <f t="shared" si="17"/>
        <v>0</v>
      </c>
      <c r="R36" s="59">
        <f t="shared" si="24"/>
        <v>1006000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/>
      <c r="J37" s="58"/>
      <c r="K37" s="59">
        <f t="shared" si="23"/>
        <v>0</v>
      </c>
      <c r="L37" s="200"/>
      <c r="M37" s="192"/>
      <c r="N37" s="193"/>
      <c r="O37" s="37"/>
      <c r="P37" s="59">
        <f t="shared" si="17"/>
        <v>0</v>
      </c>
      <c r="Q37" s="59">
        <f t="shared" si="17"/>
        <v>0</v>
      </c>
      <c r="R37" s="59">
        <f t="shared" si="24"/>
        <v>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65000</v>
      </c>
      <c r="J39" s="58"/>
      <c r="K39" s="59">
        <f t="shared" si="23"/>
        <v>65000</v>
      </c>
      <c r="L39" s="200"/>
      <c r="M39" s="192"/>
      <c r="N39" s="193"/>
      <c r="O39" s="37"/>
      <c r="P39" s="59">
        <f t="shared" si="17"/>
        <v>65000</v>
      </c>
      <c r="Q39" s="59">
        <f t="shared" si="17"/>
        <v>0</v>
      </c>
      <c r="R39" s="59">
        <f t="shared" si="24"/>
        <v>65000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375000</v>
      </c>
      <c r="J41" s="58"/>
      <c r="K41" s="59">
        <f t="shared" si="23"/>
        <v>375000</v>
      </c>
      <c r="L41" s="200"/>
      <c r="M41" s="192"/>
      <c r="N41" s="193"/>
      <c r="O41" s="37"/>
      <c r="P41" s="59">
        <f t="shared" si="17"/>
        <v>375000</v>
      </c>
      <c r="Q41" s="59">
        <f t="shared" si="17"/>
        <v>0</v>
      </c>
      <c r="R41" s="59">
        <f t="shared" si="24"/>
        <v>375000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1763463</v>
      </c>
      <c r="G44" s="106">
        <f t="shared" si="25"/>
        <v>0</v>
      </c>
      <c r="H44" s="106">
        <f t="shared" si="25"/>
        <v>1763463</v>
      </c>
      <c r="I44" s="105">
        <f t="shared" si="25"/>
        <v>1962387</v>
      </c>
      <c r="J44" s="105">
        <f t="shared" si="25"/>
        <v>0</v>
      </c>
      <c r="K44" s="105">
        <f t="shared" si="25"/>
        <v>1962387</v>
      </c>
      <c r="L44" s="105">
        <f t="shared" si="25"/>
        <v>1393369</v>
      </c>
      <c r="M44" s="105">
        <f t="shared" si="25"/>
        <v>0</v>
      </c>
      <c r="N44" s="105">
        <f t="shared" si="25"/>
        <v>1393369</v>
      </c>
      <c r="O44" s="37"/>
      <c r="P44" s="105">
        <f t="shared" ref="P44:R44" si="26">P14+P17+P24+P33</f>
        <v>5119219</v>
      </c>
      <c r="Q44" s="105">
        <f t="shared" si="26"/>
        <v>0</v>
      </c>
      <c r="R44" s="105">
        <f t="shared" si="26"/>
        <v>5119219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I48" s="29"/>
      <c r="J48" s="29"/>
      <c r="K48" s="29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I49" s="110"/>
      <c r="J49" s="29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39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667106-2552.6+1597.14</f>
        <v>666150.54</v>
      </c>
      <c r="G10" s="22">
        <f>G44</f>
        <v>0</v>
      </c>
      <c r="H10" s="23">
        <f>F10-G10</f>
        <v>666150.54</v>
      </c>
      <c r="I10" s="22">
        <v>780558</v>
      </c>
      <c r="J10" s="22">
        <f>J44</f>
        <v>0</v>
      </c>
      <c r="K10" s="23">
        <f>I10-J10</f>
        <v>780558</v>
      </c>
      <c r="L10" s="22">
        <f>740385-4511+3670.63</f>
        <v>739544.63</v>
      </c>
      <c r="M10" s="22">
        <f>M44</f>
        <v>0</v>
      </c>
      <c r="N10" s="23">
        <f>L10-M10</f>
        <v>739544.63</v>
      </c>
      <c r="O10" s="24"/>
      <c r="P10" s="22">
        <f>F10+I10+L10</f>
        <v>2186253.17</v>
      </c>
      <c r="Q10" s="22">
        <f>Q41</f>
        <v>0</v>
      </c>
      <c r="R10" s="23">
        <f>P10-Q10</f>
        <v>2186253.17</v>
      </c>
    </row>
    <row r="11" spans="1:41" ht="15.75" thickTop="1" x14ac:dyDescent="0.25">
      <c r="B11" s="134" t="s">
        <v>106</v>
      </c>
      <c r="C11" s="134"/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66710</v>
      </c>
      <c r="G14" s="32">
        <f>SUM(G15:G16)</f>
        <v>0</v>
      </c>
      <c r="H14" s="33">
        <f>SUM(H15:H16)</f>
        <v>66710</v>
      </c>
      <c r="I14" s="32">
        <f>SUM(I15:I16)</f>
        <v>78055</v>
      </c>
      <c r="J14" s="32">
        <f t="shared" ref="J14:K14" si="0">SUM(J15:J16)</f>
        <v>0</v>
      </c>
      <c r="K14" s="33">
        <f t="shared" si="0"/>
        <v>78055</v>
      </c>
      <c r="L14" s="32">
        <f>SUM(L15:L16)</f>
        <v>74038</v>
      </c>
      <c r="M14" s="32">
        <f t="shared" ref="M14:N14" si="1">SUM(M15:M16)</f>
        <v>0</v>
      </c>
      <c r="N14" s="33">
        <f t="shared" si="1"/>
        <v>74038</v>
      </c>
      <c r="O14" s="34"/>
      <c r="P14" s="99">
        <f>SUM(P15:P16)</f>
        <v>218803</v>
      </c>
      <c r="Q14" s="99">
        <f t="shared" ref="Q14:R14" si="2">SUM(Q15:Q16)</f>
        <v>0</v>
      </c>
      <c r="R14" s="33">
        <f t="shared" si="2"/>
        <v>218803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46697</v>
      </c>
      <c r="G15" s="58"/>
      <c r="H15" s="59">
        <f>F15-G15</f>
        <v>46697</v>
      </c>
      <c r="I15" s="60">
        <v>54639</v>
      </c>
      <c r="J15" s="61"/>
      <c r="K15" s="62">
        <f>I15-J15</f>
        <v>54639</v>
      </c>
      <c r="L15" s="63">
        <v>51827</v>
      </c>
      <c r="M15" s="61"/>
      <c r="N15" s="62">
        <f>L15-M15</f>
        <v>51827</v>
      </c>
      <c r="O15" s="37"/>
      <c r="P15" s="64">
        <f>F15+I15+L15</f>
        <v>153163</v>
      </c>
      <c r="Q15" s="64">
        <f>G15+J15+M15</f>
        <v>0</v>
      </c>
      <c r="R15" s="64">
        <f>P15-Q15</f>
        <v>153163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20013</v>
      </c>
      <c r="G16" s="58"/>
      <c r="H16" s="59">
        <f>F16-G16</f>
        <v>20013</v>
      </c>
      <c r="I16" s="60">
        <v>23416</v>
      </c>
      <c r="J16" s="61"/>
      <c r="K16" s="62">
        <f>I16-J16</f>
        <v>23416</v>
      </c>
      <c r="L16" s="63">
        <v>22211</v>
      </c>
      <c r="M16" s="61"/>
      <c r="N16" s="62">
        <f>L16-M16</f>
        <v>22211</v>
      </c>
      <c r="O16" s="37"/>
      <c r="P16" s="64">
        <f>F16+I16+L16</f>
        <v>65640</v>
      </c>
      <c r="Q16" s="64">
        <f>G16+J16+M16</f>
        <v>0</v>
      </c>
      <c r="R16" s="64">
        <f>P16-Q16</f>
        <v>65640</v>
      </c>
      <c r="U16" s="1" t="s">
        <v>126</v>
      </c>
      <c r="V16" s="153">
        <f>F17+F24+L17+L24</f>
        <v>1266743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464396</v>
      </c>
      <c r="G17" s="66">
        <f>SUM(G18:G23)</f>
        <v>0</v>
      </c>
      <c r="H17" s="67">
        <f t="shared" ref="H17" si="3">SUM(H18:H23)</f>
        <v>464396</v>
      </c>
      <c r="I17" s="66">
        <f>SUM(I18:I23)</f>
        <v>0</v>
      </c>
      <c r="J17" s="66">
        <f t="shared" ref="J17:K17" si="4">SUM(J18:J23)</f>
        <v>0</v>
      </c>
      <c r="K17" s="67">
        <f t="shared" si="4"/>
        <v>0</v>
      </c>
      <c r="L17" s="66">
        <f>SUM(L18:L23)</f>
        <v>666347</v>
      </c>
      <c r="M17" s="66">
        <f>SUM(M18:M23)</f>
        <v>0</v>
      </c>
      <c r="N17" s="67">
        <f t="shared" ref="N17" si="5">SUM(N18:N23)</f>
        <v>666347</v>
      </c>
      <c r="O17" s="48"/>
      <c r="P17" s="101">
        <f>SUM(P18:P23)</f>
        <v>1130743</v>
      </c>
      <c r="Q17" s="101">
        <f t="shared" ref="Q17:R17" si="6">SUM(Q18:Q23)</f>
        <v>0</v>
      </c>
      <c r="R17" s="67">
        <f t="shared" si="6"/>
        <v>1130743</v>
      </c>
      <c r="U17" s="1" t="s">
        <v>127</v>
      </c>
      <c r="V17" s="153">
        <f>F24+L24</f>
        <v>136000</v>
      </c>
      <c r="W17" s="1">
        <f>V17/V16</f>
        <v>0.10736195108242161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199398</v>
      </c>
      <c r="G18" s="58"/>
      <c r="H18" s="59">
        <f t="shared" ref="H18:H23" si="7">F18-G18</f>
        <v>199398</v>
      </c>
      <c r="I18" s="60"/>
      <c r="J18" s="61"/>
      <c r="K18" s="62">
        <f t="shared" ref="K18:K23" si="8">I18-J18</f>
        <v>0</v>
      </c>
      <c r="L18" s="63">
        <v>364597</v>
      </c>
      <c r="M18" s="61"/>
      <c r="N18" s="62">
        <f t="shared" ref="N18:N23" si="9">L18-M18</f>
        <v>364597</v>
      </c>
      <c r="O18" s="37"/>
      <c r="P18" s="64">
        <f t="shared" ref="P18:Q23" si="10">F18+I18+L18</f>
        <v>563995</v>
      </c>
      <c r="Q18" s="64">
        <f t="shared" si="10"/>
        <v>0</v>
      </c>
      <c r="R18" s="64">
        <f t="shared" ref="R18:R23" si="11">P18-Q18</f>
        <v>563995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85456</v>
      </c>
      <c r="G19" s="58"/>
      <c r="H19" s="59">
        <f t="shared" si="7"/>
        <v>85456</v>
      </c>
      <c r="I19" s="60"/>
      <c r="J19" s="61"/>
      <c r="K19" s="62">
        <f t="shared" si="8"/>
        <v>0</v>
      </c>
      <c r="L19" s="63">
        <v>155750</v>
      </c>
      <c r="M19" s="61"/>
      <c r="N19" s="62">
        <f t="shared" si="9"/>
        <v>155750</v>
      </c>
      <c r="O19" s="37"/>
      <c r="P19" s="64">
        <f t="shared" si="10"/>
        <v>241206</v>
      </c>
      <c r="Q19" s="64">
        <f t="shared" si="10"/>
        <v>0</v>
      </c>
      <c r="R19" s="64">
        <f t="shared" si="11"/>
        <v>241206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179542</v>
      </c>
      <c r="G20" s="58"/>
      <c r="H20" s="59">
        <f t="shared" si="7"/>
        <v>179542</v>
      </c>
      <c r="I20" s="60"/>
      <c r="J20" s="61"/>
      <c r="K20" s="62">
        <f t="shared" si="8"/>
        <v>0</v>
      </c>
      <c r="L20" s="63">
        <v>146000</v>
      </c>
      <c r="M20" s="61"/>
      <c r="N20" s="62">
        <f t="shared" si="9"/>
        <v>146000</v>
      </c>
      <c r="O20" s="37"/>
      <c r="P20" s="64">
        <f t="shared" si="10"/>
        <v>325542</v>
      </c>
      <c r="Q20" s="64">
        <f t="shared" si="10"/>
        <v>0</v>
      </c>
      <c r="R20" s="64">
        <f t="shared" si="11"/>
        <v>325542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7"/>
        <v>0</v>
      </c>
      <c r="I21" s="60"/>
      <c r="J21" s="70"/>
      <c r="K21" s="71">
        <f t="shared" si="8"/>
        <v>0</v>
      </c>
      <c r="L21" s="72"/>
      <c r="M21" s="70"/>
      <c r="N21" s="62">
        <f t="shared" si="9"/>
        <v>0</v>
      </c>
      <c r="O21" s="37"/>
      <c r="P21" s="64">
        <f t="shared" si="10"/>
        <v>0</v>
      </c>
      <c r="Q21" s="64">
        <f t="shared" si="10"/>
        <v>0</v>
      </c>
      <c r="R21" s="64">
        <f t="shared" si="11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7"/>
        <v>0</v>
      </c>
      <c r="I22" s="60"/>
      <c r="J22" s="70"/>
      <c r="K22" s="71">
        <f t="shared" si="8"/>
        <v>0</v>
      </c>
      <c r="L22" s="72"/>
      <c r="M22" s="70"/>
      <c r="N22" s="71">
        <f t="shared" si="9"/>
        <v>0</v>
      </c>
      <c r="O22" s="37"/>
      <c r="P22" s="73">
        <f t="shared" si="10"/>
        <v>0</v>
      </c>
      <c r="Q22" s="64">
        <f t="shared" si="10"/>
        <v>0</v>
      </c>
      <c r="R22" s="73">
        <f t="shared" si="11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7"/>
        <v>0</v>
      </c>
      <c r="I23" s="76"/>
      <c r="J23" s="77"/>
      <c r="K23" s="78">
        <f t="shared" si="8"/>
        <v>0</v>
      </c>
      <c r="L23" s="79"/>
      <c r="M23" s="77"/>
      <c r="N23" s="78">
        <f t="shared" si="9"/>
        <v>0</v>
      </c>
      <c r="O23" s="37"/>
      <c r="P23" s="64">
        <f t="shared" si="10"/>
        <v>0</v>
      </c>
      <c r="Q23" s="64">
        <f t="shared" si="10"/>
        <v>0</v>
      </c>
      <c r="R23" s="64">
        <f t="shared" si="11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136000</v>
      </c>
      <c r="G24" s="66">
        <f>SUM(G25:G32)</f>
        <v>0</v>
      </c>
      <c r="H24" s="67">
        <f>SUM(H25:H32)</f>
        <v>136000</v>
      </c>
      <c r="I24" s="66">
        <f>SUM(I25:I32)</f>
        <v>0</v>
      </c>
      <c r="J24" s="66">
        <f t="shared" ref="J24:K24" si="12">SUM(J25:J32)</f>
        <v>0</v>
      </c>
      <c r="K24" s="67">
        <f t="shared" si="12"/>
        <v>0</v>
      </c>
      <c r="L24" s="66">
        <f>SUM(L25:L32)</f>
        <v>0</v>
      </c>
      <c r="M24" s="66">
        <f t="shared" ref="M24:N24" si="13">SUM(M25:M32)</f>
        <v>0</v>
      </c>
      <c r="N24" s="67">
        <f t="shared" si="13"/>
        <v>0</v>
      </c>
      <c r="O24" s="48"/>
      <c r="P24" s="101">
        <f>SUM(P25:P32)</f>
        <v>136000</v>
      </c>
      <c r="Q24" s="101">
        <f t="shared" ref="Q24:R24" si="14">SUM(Q25:Q32)</f>
        <v>0</v>
      </c>
      <c r="R24" s="67">
        <f t="shared" si="14"/>
        <v>136000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40000</v>
      </c>
      <c r="G25" s="58"/>
      <c r="H25" s="59">
        <f>F25-G25</f>
        <v>40000</v>
      </c>
      <c r="I25" s="60"/>
      <c r="J25" s="61"/>
      <c r="K25" s="62">
        <f>I25-J25</f>
        <v>0</v>
      </c>
      <c r="L25" s="63"/>
      <c r="M25" s="61"/>
      <c r="N25" s="62">
        <f>L25-M25</f>
        <v>0</v>
      </c>
      <c r="O25" s="37"/>
      <c r="P25" s="64">
        <f t="shared" ref="P25:Q40" si="15">F25+I25+L25</f>
        <v>40000</v>
      </c>
      <c r="Q25" s="64">
        <f t="shared" si="15"/>
        <v>0</v>
      </c>
      <c r="R25" s="64">
        <f>P25-Q25</f>
        <v>40000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76000</v>
      </c>
      <c r="G26" s="58"/>
      <c r="H26" s="59">
        <f>F26-G26</f>
        <v>76000</v>
      </c>
      <c r="I26" s="60"/>
      <c r="J26" s="61"/>
      <c r="K26" s="62">
        <f>I26-J26</f>
        <v>0</v>
      </c>
      <c r="L26" s="63"/>
      <c r="M26" s="61"/>
      <c r="N26" s="62">
        <f>L26-M26</f>
        <v>0</v>
      </c>
      <c r="O26" s="37"/>
      <c r="P26" s="64">
        <f t="shared" si="15"/>
        <v>76000</v>
      </c>
      <c r="Q26" s="64">
        <f t="shared" si="15"/>
        <v>0</v>
      </c>
      <c r="R26" s="64">
        <f>P26-Q26</f>
        <v>76000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5"/>
        <v>0</v>
      </c>
      <c r="Q27" s="64">
        <f t="shared" si="15"/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6">L28-M28</f>
        <v>0</v>
      </c>
      <c r="O28" s="37"/>
      <c r="P28" s="64">
        <f t="shared" si="15"/>
        <v>0</v>
      </c>
      <c r="Q28" s="64">
        <f t="shared" si="15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17">F29-G29</f>
        <v>0</v>
      </c>
      <c r="I29" s="60"/>
      <c r="J29" s="61"/>
      <c r="K29" s="62">
        <f t="shared" ref="K29:K31" si="18">I29-J29</f>
        <v>0</v>
      </c>
      <c r="L29" s="63"/>
      <c r="M29" s="61"/>
      <c r="N29" s="62">
        <f t="shared" si="16"/>
        <v>0</v>
      </c>
      <c r="O29" s="37"/>
      <c r="P29" s="64">
        <f t="shared" si="15"/>
        <v>0</v>
      </c>
      <c r="Q29" s="64">
        <f t="shared" si="15"/>
        <v>0</v>
      </c>
      <c r="R29" s="64">
        <f t="shared" ref="R29:R31" si="19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>
        <v>20000</v>
      </c>
      <c r="G30" s="58"/>
      <c r="H30" s="59">
        <f t="shared" si="17"/>
        <v>20000</v>
      </c>
      <c r="I30" s="60"/>
      <c r="J30" s="61"/>
      <c r="K30" s="62">
        <f>I30-J30</f>
        <v>0</v>
      </c>
      <c r="L30" s="63"/>
      <c r="M30" s="61"/>
      <c r="N30" s="62">
        <f t="shared" si="16"/>
        <v>0</v>
      </c>
      <c r="O30" s="37"/>
      <c r="P30" s="64">
        <f t="shared" si="15"/>
        <v>20000</v>
      </c>
      <c r="Q30" s="64">
        <f t="shared" si="15"/>
        <v>0</v>
      </c>
      <c r="R30" s="64">
        <f t="shared" si="19"/>
        <v>20000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17"/>
        <v>0</v>
      </c>
      <c r="I31" s="60"/>
      <c r="J31" s="61"/>
      <c r="K31" s="62">
        <f t="shared" si="18"/>
        <v>0</v>
      </c>
      <c r="L31" s="63"/>
      <c r="M31" s="61"/>
      <c r="N31" s="62">
        <f t="shared" si="16"/>
        <v>0</v>
      </c>
      <c r="O31" s="37"/>
      <c r="P31" s="64">
        <f t="shared" si="15"/>
        <v>0</v>
      </c>
      <c r="Q31" s="64">
        <f t="shared" si="15"/>
        <v>0</v>
      </c>
      <c r="R31" s="64">
        <f t="shared" si="19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5"/>
        <v>0</v>
      </c>
      <c r="Q32" s="64">
        <f t="shared" si="15"/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702503</v>
      </c>
      <c r="J33" s="66">
        <f>SUM(J34:J43)</f>
        <v>0</v>
      </c>
      <c r="K33" s="67">
        <f>SUM(K34:K43)</f>
        <v>702503</v>
      </c>
      <c r="L33" s="66"/>
      <c r="M33" s="66"/>
      <c r="N33" s="67"/>
      <c r="O33" s="48"/>
      <c r="P33" s="101">
        <f>SUM(P34:P43)</f>
        <v>702503</v>
      </c>
      <c r="Q33" s="101">
        <f>SUM(Q34:Q43)</f>
        <v>0</v>
      </c>
      <c r="R33" s="67">
        <f>SUM(R34:R43)</f>
        <v>702503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100000</v>
      </c>
      <c r="J34" s="58"/>
      <c r="K34" s="59">
        <f t="shared" ref="K34:K43" si="20">I34-J34</f>
        <v>100000</v>
      </c>
      <c r="L34" s="199"/>
      <c r="M34" s="189"/>
      <c r="N34" s="190"/>
      <c r="O34" s="37"/>
      <c r="P34" s="59">
        <f t="shared" si="15"/>
        <v>100000</v>
      </c>
      <c r="Q34" s="59">
        <f t="shared" si="15"/>
        <v>0</v>
      </c>
      <c r="R34" s="59">
        <f t="shared" ref="R34:R43" si="21">P34-Q34</f>
        <v>100000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85000</v>
      </c>
      <c r="J35" s="58"/>
      <c r="K35" s="59">
        <f t="shared" si="20"/>
        <v>85000</v>
      </c>
      <c r="L35" s="200"/>
      <c r="M35" s="192"/>
      <c r="N35" s="193"/>
      <c r="O35" s="37"/>
      <c r="P35" s="59">
        <f t="shared" si="15"/>
        <v>85000</v>
      </c>
      <c r="Q35" s="59">
        <f t="shared" si="15"/>
        <v>0</v>
      </c>
      <c r="R35" s="59">
        <f t="shared" si="21"/>
        <v>85000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/>
      <c r="J36" s="58"/>
      <c r="K36" s="59">
        <f t="shared" si="20"/>
        <v>0</v>
      </c>
      <c r="L36" s="200"/>
      <c r="M36" s="192"/>
      <c r="N36" s="193"/>
      <c r="O36" s="37"/>
      <c r="P36" s="59">
        <f t="shared" si="15"/>
        <v>0</v>
      </c>
      <c r="Q36" s="59">
        <f t="shared" si="15"/>
        <v>0</v>
      </c>
      <c r="R36" s="59">
        <f t="shared" si="21"/>
        <v>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507903</v>
      </c>
      <c r="J37" s="58"/>
      <c r="K37" s="59">
        <f t="shared" si="20"/>
        <v>507903</v>
      </c>
      <c r="L37" s="200"/>
      <c r="M37" s="192"/>
      <c r="N37" s="193"/>
      <c r="O37" s="37"/>
      <c r="P37" s="59">
        <f t="shared" si="15"/>
        <v>507903</v>
      </c>
      <c r="Q37" s="59">
        <f t="shared" si="15"/>
        <v>0</v>
      </c>
      <c r="R37" s="59">
        <f t="shared" si="21"/>
        <v>507903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9600</v>
      </c>
      <c r="J38" s="58"/>
      <c r="K38" s="59">
        <f t="shared" si="20"/>
        <v>9600</v>
      </c>
      <c r="L38" s="200"/>
      <c r="M38" s="192"/>
      <c r="N38" s="193"/>
      <c r="O38" s="37"/>
      <c r="P38" s="59">
        <f t="shared" si="15"/>
        <v>9600</v>
      </c>
      <c r="Q38" s="59">
        <f t="shared" si="15"/>
        <v>0</v>
      </c>
      <c r="R38" s="59">
        <f t="shared" si="21"/>
        <v>9600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0"/>
        <v>0</v>
      </c>
      <c r="L39" s="200"/>
      <c r="M39" s="192"/>
      <c r="N39" s="193"/>
      <c r="O39" s="37"/>
      <c r="P39" s="59">
        <f t="shared" si="15"/>
        <v>0</v>
      </c>
      <c r="Q39" s="59">
        <f t="shared" si="15"/>
        <v>0</v>
      </c>
      <c r="R39" s="59">
        <f t="shared" si="21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0"/>
        <v>0</v>
      </c>
      <c r="L40" s="200"/>
      <c r="M40" s="192"/>
      <c r="N40" s="193"/>
      <c r="O40" s="37"/>
      <c r="P40" s="59">
        <f t="shared" si="15"/>
        <v>0</v>
      </c>
      <c r="Q40" s="59">
        <f t="shared" si="15"/>
        <v>0</v>
      </c>
      <c r="R40" s="59">
        <f t="shared" si="21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0"/>
        <v>0</v>
      </c>
      <c r="L41" s="200"/>
      <c r="M41" s="192"/>
      <c r="N41" s="193"/>
      <c r="O41" s="37"/>
      <c r="P41" s="59">
        <f t="shared" ref="P41:Q43" si="22">F41+I41+L41</f>
        <v>0</v>
      </c>
      <c r="Q41" s="59">
        <f t="shared" si="22"/>
        <v>0</v>
      </c>
      <c r="R41" s="59">
        <f t="shared" si="21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0"/>
        <v>0</v>
      </c>
      <c r="L42" s="200"/>
      <c r="M42" s="192"/>
      <c r="N42" s="193"/>
      <c r="O42" s="37"/>
      <c r="P42" s="59">
        <f t="shared" si="22"/>
        <v>0</v>
      </c>
      <c r="Q42" s="59">
        <f t="shared" si="22"/>
        <v>0</v>
      </c>
      <c r="R42" s="59">
        <f t="shared" si="21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0"/>
        <v>0</v>
      </c>
      <c r="L43" s="201"/>
      <c r="M43" s="195"/>
      <c r="N43" s="196"/>
      <c r="O43" s="37"/>
      <c r="P43" s="95">
        <f t="shared" si="22"/>
        <v>0</v>
      </c>
      <c r="Q43" s="95">
        <f t="shared" si="22"/>
        <v>0</v>
      </c>
      <c r="R43" s="95">
        <f t="shared" si="21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3">F14+F17+F24+F33</f>
        <v>667106</v>
      </c>
      <c r="G44" s="106">
        <f t="shared" si="23"/>
        <v>0</v>
      </c>
      <c r="H44" s="106">
        <f t="shared" si="23"/>
        <v>667106</v>
      </c>
      <c r="I44" s="105">
        <f t="shared" si="23"/>
        <v>780558</v>
      </c>
      <c r="J44" s="105">
        <f t="shared" si="23"/>
        <v>0</v>
      </c>
      <c r="K44" s="105">
        <f t="shared" si="23"/>
        <v>780558</v>
      </c>
      <c r="L44" s="105">
        <f t="shared" si="23"/>
        <v>740385</v>
      </c>
      <c r="M44" s="105">
        <f t="shared" si="23"/>
        <v>0</v>
      </c>
      <c r="N44" s="105">
        <f t="shared" si="23"/>
        <v>740385</v>
      </c>
      <c r="O44" s="37"/>
      <c r="P44" s="105">
        <f t="shared" ref="P44:R44" si="24">P14+P17+P24+P33</f>
        <v>2188049</v>
      </c>
      <c r="Q44" s="105">
        <f t="shared" si="24"/>
        <v>0</v>
      </c>
      <c r="R44" s="105">
        <f t="shared" si="24"/>
        <v>2188049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 t="s">
        <v>63</v>
      </c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80"/>
      <c r="G50" s="80"/>
      <c r="H50" s="80"/>
      <c r="I50" s="3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5" t="s">
        <v>82</v>
      </c>
      <c r="B55" s="205"/>
      <c r="C55" s="205"/>
      <c r="D55" s="205"/>
      <c r="E55" s="205"/>
      <c r="F55" s="205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203" t="s">
        <v>110</v>
      </c>
      <c r="B60" s="203"/>
      <c r="C60" s="203"/>
      <c r="D60" s="203"/>
      <c r="E60" s="203"/>
      <c r="F60" s="203"/>
    </row>
    <row r="61" spans="1:15" x14ac:dyDescent="0.25">
      <c r="A61" s="204"/>
      <c r="B61" s="204"/>
      <c r="C61" s="204"/>
      <c r="D61" s="204"/>
      <c r="E61" s="204"/>
      <c r="F61" s="204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5" sqref="H15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40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769754-18828.51+11538.47</f>
        <v>762463.96</v>
      </c>
      <c r="G10" s="22">
        <f>G44</f>
        <v>0</v>
      </c>
      <c r="H10" s="23">
        <f>F10-G10</f>
        <v>762463.96</v>
      </c>
      <c r="I10" s="22">
        <v>838546</v>
      </c>
      <c r="J10" s="22">
        <f>J44</f>
        <v>0</v>
      </c>
      <c r="K10" s="23">
        <f>I10-J10</f>
        <v>838546</v>
      </c>
      <c r="L10" s="22">
        <f>957417-11971+9706.47</f>
        <v>955152.47</v>
      </c>
      <c r="M10" s="22">
        <f>M44</f>
        <v>0</v>
      </c>
      <c r="N10" s="23">
        <f>L10-M10</f>
        <v>955152.47</v>
      </c>
      <c r="O10" s="24"/>
      <c r="P10" s="22">
        <f>F10+I10+L10</f>
        <v>2556162.4299999997</v>
      </c>
      <c r="Q10" s="22">
        <f>Q41</f>
        <v>0</v>
      </c>
      <c r="R10" s="23">
        <f>P10-Q10</f>
        <v>2556162.4299999997</v>
      </c>
    </row>
    <row r="11" spans="1:41" ht="15.75" thickTop="1" x14ac:dyDescent="0.25">
      <c r="H11" s="6"/>
      <c r="J11" s="3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85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85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76975</v>
      </c>
      <c r="G14" s="32">
        <f>SUM(G15:G16)</f>
        <v>0</v>
      </c>
      <c r="H14" s="33">
        <f>SUM(H15:H16)</f>
        <v>76975</v>
      </c>
      <c r="I14" s="32">
        <f>SUM(I15:I16)</f>
        <v>83855</v>
      </c>
      <c r="J14" s="32">
        <f t="shared" ref="J14:K14" si="0">SUM(J15:J16)</f>
        <v>0</v>
      </c>
      <c r="K14" s="33">
        <f t="shared" si="0"/>
        <v>83855</v>
      </c>
      <c r="L14" s="32">
        <f>SUM(L15:L16)</f>
        <v>95742</v>
      </c>
      <c r="M14" s="32">
        <f t="shared" ref="M14:N14" si="1">SUM(M15:M16)</f>
        <v>0</v>
      </c>
      <c r="N14" s="33">
        <f t="shared" si="1"/>
        <v>95742</v>
      </c>
      <c r="O14" s="34"/>
      <c r="P14" s="99">
        <f>SUM(P15:P16)</f>
        <v>256572</v>
      </c>
      <c r="Q14" s="99">
        <f t="shared" ref="Q14:R14" si="2">SUM(Q15:Q16)</f>
        <v>0</v>
      </c>
      <c r="R14" s="33">
        <f t="shared" si="2"/>
        <v>256572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46185</v>
      </c>
      <c r="G15" s="58"/>
      <c r="H15" s="59">
        <f>F15-G15</f>
        <v>46185</v>
      </c>
      <c r="I15" s="60">
        <v>37626</v>
      </c>
      <c r="J15" s="61"/>
      <c r="K15" s="62">
        <f>I15-J15</f>
        <v>37626</v>
      </c>
      <c r="L15" s="63">
        <v>62232</v>
      </c>
      <c r="M15" s="61"/>
      <c r="N15" s="62">
        <f>L15-M15</f>
        <v>62232</v>
      </c>
      <c r="O15" s="37"/>
      <c r="P15" s="64">
        <f t="shared" ref="P15:P16" si="3">F15+I15+L15</f>
        <v>146043</v>
      </c>
      <c r="Q15" s="64">
        <f>G15+J15+M15</f>
        <v>0</v>
      </c>
      <c r="R15" s="64">
        <f>P15-Q15</f>
        <v>146043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30790</v>
      </c>
      <c r="G16" s="58"/>
      <c r="H16" s="59">
        <f>F16-G16</f>
        <v>30790</v>
      </c>
      <c r="I16" s="60">
        <v>46229</v>
      </c>
      <c r="J16" s="61"/>
      <c r="K16" s="62">
        <f>I16-J16</f>
        <v>46229</v>
      </c>
      <c r="L16" s="63">
        <v>33510</v>
      </c>
      <c r="M16" s="61"/>
      <c r="N16" s="62">
        <f>L16-M16</f>
        <v>33510</v>
      </c>
      <c r="O16" s="37"/>
      <c r="P16" s="64">
        <f t="shared" si="3"/>
        <v>110529</v>
      </c>
      <c r="Q16" s="64">
        <f>G16+J16+M16</f>
        <v>0</v>
      </c>
      <c r="R16" s="64">
        <f>P16-Q16</f>
        <v>110529</v>
      </c>
      <c r="U16" s="1" t="s">
        <v>126</v>
      </c>
      <c r="V16" s="153">
        <f>F17+F24+L17+L24</f>
        <v>1554454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600408</v>
      </c>
      <c r="G17" s="66">
        <f>SUM(G18:G23)</f>
        <v>0</v>
      </c>
      <c r="H17" s="67">
        <f t="shared" ref="H17" si="4">SUM(H18:H23)</f>
        <v>600408</v>
      </c>
      <c r="I17" s="66">
        <f>SUM(I18:I23)</f>
        <v>0</v>
      </c>
      <c r="J17" s="155">
        <f t="shared" ref="J17:K17" si="5">SUM(J18:J23)</f>
        <v>0</v>
      </c>
      <c r="K17" s="67">
        <f t="shared" si="5"/>
        <v>0</v>
      </c>
      <c r="L17" s="66">
        <f>SUM(L18:L23)</f>
        <v>775508</v>
      </c>
      <c r="M17" s="66">
        <f>SUM(M18:M23)</f>
        <v>0</v>
      </c>
      <c r="N17" s="67">
        <f t="shared" ref="N17" si="6">SUM(N18:N23)</f>
        <v>775508</v>
      </c>
      <c r="O17" s="48"/>
      <c r="P17" s="101">
        <f>SUM(P18:P23)</f>
        <v>1375916</v>
      </c>
      <c r="Q17" s="101">
        <f t="shared" ref="Q17:R17" si="7">SUM(Q18:Q23)</f>
        <v>0</v>
      </c>
      <c r="R17" s="67">
        <f t="shared" si="7"/>
        <v>1375916</v>
      </c>
      <c r="U17" s="1" t="s">
        <v>127</v>
      </c>
      <c r="V17" s="153">
        <f>F24+L24</f>
        <v>178538</v>
      </c>
      <c r="W17" s="1">
        <f>V17/V16</f>
        <v>0.11485576285949922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65814</v>
      </c>
      <c r="G18" s="58"/>
      <c r="H18" s="59">
        <f t="shared" ref="H18:H23" si="8">F18-G18</f>
        <v>65814</v>
      </c>
      <c r="I18" s="60"/>
      <c r="J18" s="61"/>
      <c r="K18" s="62">
        <f t="shared" ref="K18:K23" si="9">I18-J18</f>
        <v>0</v>
      </c>
      <c r="L18" s="63">
        <v>103402</v>
      </c>
      <c r="M18" s="61"/>
      <c r="N18" s="62">
        <f t="shared" ref="N18:N23" si="10">L18-M18</f>
        <v>103402</v>
      </c>
      <c r="O18" s="37"/>
      <c r="P18" s="64">
        <f t="shared" ref="P18:P23" si="11">F18+I18+L18</f>
        <v>169216</v>
      </c>
      <c r="Q18" s="64">
        <f>G18+J18+M18</f>
        <v>0</v>
      </c>
      <c r="R18" s="64">
        <f t="shared" ref="R18:R23" si="12">P18-Q18</f>
        <v>169216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55422</v>
      </c>
      <c r="G19" s="58"/>
      <c r="H19" s="59">
        <f t="shared" si="8"/>
        <v>55422</v>
      </c>
      <c r="I19" s="60"/>
      <c r="J19" s="61"/>
      <c r="K19" s="62">
        <f t="shared" si="9"/>
        <v>0</v>
      </c>
      <c r="L19" s="63">
        <v>89518</v>
      </c>
      <c r="M19" s="61"/>
      <c r="N19" s="62">
        <f t="shared" si="10"/>
        <v>89518</v>
      </c>
      <c r="O19" s="37"/>
      <c r="P19" s="64">
        <f t="shared" si="11"/>
        <v>144940</v>
      </c>
      <c r="Q19" s="64">
        <f>G19+J19+M19</f>
        <v>0</v>
      </c>
      <c r="R19" s="64">
        <f t="shared" si="12"/>
        <v>144940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479172</v>
      </c>
      <c r="G20" s="58"/>
      <c r="H20" s="59">
        <f t="shared" si="8"/>
        <v>479172</v>
      </c>
      <c r="I20" s="60"/>
      <c r="J20" s="61"/>
      <c r="K20" s="62">
        <f t="shared" si="9"/>
        <v>0</v>
      </c>
      <c r="L20" s="63">
        <v>582588</v>
      </c>
      <c r="M20" s="61"/>
      <c r="N20" s="62">
        <f t="shared" si="10"/>
        <v>582588</v>
      </c>
      <c r="O20" s="37"/>
      <c r="P20" s="64">
        <f t="shared" si="11"/>
        <v>1061760</v>
      </c>
      <c r="Q20" s="64">
        <f>G20+J20+M20</f>
        <v>0</v>
      </c>
      <c r="R20" s="64">
        <f t="shared" si="12"/>
        <v>1061760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92371</v>
      </c>
      <c r="G24" s="66">
        <f>SUM(G25:G32)</f>
        <v>0</v>
      </c>
      <c r="H24" s="67">
        <f>SUM(H25:H32)</f>
        <v>92371</v>
      </c>
      <c r="I24" s="66">
        <f>SUM(I25:I32)</f>
        <v>0</v>
      </c>
      <c r="J24" s="155">
        <f t="shared" ref="J24:K24" si="14">SUM(J25:J32)</f>
        <v>0</v>
      </c>
      <c r="K24" s="67">
        <f t="shared" si="14"/>
        <v>0</v>
      </c>
      <c r="L24" s="66">
        <f>SUM(L25:L32)</f>
        <v>86167</v>
      </c>
      <c r="M24" s="66">
        <f t="shared" ref="M24:N24" si="15">SUM(M25:M32)</f>
        <v>0</v>
      </c>
      <c r="N24" s="67">
        <f t="shared" si="15"/>
        <v>86167</v>
      </c>
      <c r="O24" s="48"/>
      <c r="P24" s="101">
        <f>SUM(P25:P32)</f>
        <v>178538</v>
      </c>
      <c r="Q24" s="101">
        <f t="shared" ref="Q24:R24" si="16">SUM(Q25:Q32)</f>
        <v>0</v>
      </c>
      <c r="R24" s="67">
        <f t="shared" si="16"/>
        <v>178538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48033</v>
      </c>
      <c r="G25" s="58"/>
      <c r="H25" s="59">
        <f>F25-G25</f>
        <v>48033</v>
      </c>
      <c r="I25" s="60"/>
      <c r="J25" s="61"/>
      <c r="K25" s="62">
        <f>I25-J25</f>
        <v>0</v>
      </c>
      <c r="L25" s="63">
        <v>19148</v>
      </c>
      <c r="M25" s="61"/>
      <c r="N25" s="62">
        <f>L25-M25</f>
        <v>19148</v>
      </c>
      <c r="O25" s="37"/>
      <c r="P25" s="64">
        <f t="shared" ref="P25:Q43" si="17">F25+I25+L25</f>
        <v>67181</v>
      </c>
      <c r="Q25" s="64">
        <f>G25+J25+M25</f>
        <v>0</v>
      </c>
      <c r="R25" s="64">
        <f>P25-Q25</f>
        <v>67181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44338</v>
      </c>
      <c r="G26" s="58"/>
      <c r="H26" s="59">
        <f>F26-G26</f>
        <v>44338</v>
      </c>
      <c r="I26" s="60"/>
      <c r="J26" s="61"/>
      <c r="K26" s="62">
        <f>I26-J26</f>
        <v>0</v>
      </c>
      <c r="L26" s="63">
        <v>67019</v>
      </c>
      <c r="M26" s="61"/>
      <c r="N26" s="62">
        <f>L26-M26</f>
        <v>67019</v>
      </c>
      <c r="O26" s="37"/>
      <c r="P26" s="64">
        <f t="shared" si="17"/>
        <v>111357</v>
      </c>
      <c r="Q26" s="64">
        <f>G26+J26+M26</f>
        <v>0</v>
      </c>
      <c r="R26" s="64">
        <f>P26-Q26</f>
        <v>111357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754691</v>
      </c>
      <c r="J33" s="155">
        <f>SUM(J34:J43)</f>
        <v>0</v>
      </c>
      <c r="K33" s="67">
        <f>SUM(K34:K43)</f>
        <v>754691</v>
      </c>
      <c r="L33" s="66"/>
      <c r="M33" s="66"/>
      <c r="N33" s="67"/>
      <c r="O33" s="48"/>
      <c r="P33" s="101">
        <f>SUM(P34:P43)</f>
        <v>754691</v>
      </c>
      <c r="Q33" s="101">
        <f>SUM(Q34:Q43)</f>
        <v>0</v>
      </c>
      <c r="R33" s="67">
        <f>SUM(R34:R43)</f>
        <v>754691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80065</v>
      </c>
      <c r="J34" s="58"/>
      <c r="K34" s="59">
        <f t="shared" ref="K34:K43" si="23">I34-J34</f>
        <v>80065</v>
      </c>
      <c r="L34" s="199"/>
      <c r="M34" s="189"/>
      <c r="N34" s="190"/>
      <c r="O34" s="37"/>
      <c r="P34" s="59">
        <f t="shared" si="17"/>
        <v>80065</v>
      </c>
      <c r="Q34" s="59">
        <f t="shared" si="17"/>
        <v>0</v>
      </c>
      <c r="R34" s="59">
        <f t="shared" ref="R34:R43" si="24">P34-Q34</f>
        <v>80065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/>
      <c r="J35" s="58"/>
      <c r="K35" s="59">
        <f t="shared" si="23"/>
        <v>0</v>
      </c>
      <c r="L35" s="200"/>
      <c r="M35" s="192"/>
      <c r="N35" s="193"/>
      <c r="O35" s="37"/>
      <c r="P35" s="59">
        <f t="shared" si="17"/>
        <v>0</v>
      </c>
      <c r="Q35" s="59">
        <f t="shared" si="17"/>
        <v>0</v>
      </c>
      <c r="R35" s="59">
        <f t="shared" si="24"/>
        <v>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508510</v>
      </c>
      <c r="J36" s="58"/>
      <c r="K36" s="59">
        <f t="shared" si="23"/>
        <v>508510</v>
      </c>
      <c r="L36" s="200"/>
      <c r="M36" s="192"/>
      <c r="N36" s="193"/>
      <c r="O36" s="37"/>
      <c r="P36" s="59">
        <f t="shared" si="17"/>
        <v>508510</v>
      </c>
      <c r="Q36" s="59">
        <f t="shared" si="17"/>
        <v>0</v>
      </c>
      <c r="R36" s="59">
        <f t="shared" si="24"/>
        <v>508510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/>
      <c r="J37" s="58"/>
      <c r="K37" s="59">
        <f t="shared" si="23"/>
        <v>0</v>
      </c>
      <c r="L37" s="200"/>
      <c r="M37" s="192"/>
      <c r="N37" s="193"/>
      <c r="O37" s="37"/>
      <c r="P37" s="59">
        <f t="shared" si="17"/>
        <v>0</v>
      </c>
      <c r="Q37" s="59">
        <f t="shared" si="17"/>
        <v>0</v>
      </c>
      <c r="R37" s="59">
        <f t="shared" si="24"/>
        <v>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3"/>
        <v>0</v>
      </c>
      <c r="L39" s="200"/>
      <c r="M39" s="192"/>
      <c r="N39" s="193"/>
      <c r="O39" s="37"/>
      <c r="P39" s="59">
        <f t="shared" si="17"/>
        <v>0</v>
      </c>
      <c r="Q39" s="59">
        <f t="shared" si="17"/>
        <v>0</v>
      </c>
      <c r="R39" s="59">
        <f t="shared" si="24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70874</v>
      </c>
      <c r="J40" s="58"/>
      <c r="K40" s="59">
        <f t="shared" si="23"/>
        <v>70874</v>
      </c>
      <c r="L40" s="200"/>
      <c r="M40" s="192"/>
      <c r="N40" s="193"/>
      <c r="O40" s="37"/>
      <c r="P40" s="59">
        <f t="shared" si="17"/>
        <v>70874</v>
      </c>
      <c r="Q40" s="59">
        <f t="shared" si="17"/>
        <v>0</v>
      </c>
      <c r="R40" s="59">
        <f t="shared" si="24"/>
        <v>70874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95242</v>
      </c>
      <c r="J41" s="58"/>
      <c r="K41" s="59">
        <f t="shared" si="23"/>
        <v>95242</v>
      </c>
      <c r="L41" s="200"/>
      <c r="M41" s="192"/>
      <c r="N41" s="193"/>
      <c r="O41" s="37"/>
      <c r="P41" s="59">
        <f t="shared" si="17"/>
        <v>95242</v>
      </c>
      <c r="Q41" s="59">
        <f t="shared" si="17"/>
        <v>0</v>
      </c>
      <c r="R41" s="59">
        <f t="shared" si="24"/>
        <v>95242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769754</v>
      </c>
      <c r="G44" s="106">
        <f t="shared" si="25"/>
        <v>0</v>
      </c>
      <c r="H44" s="106">
        <f t="shared" si="25"/>
        <v>769754</v>
      </c>
      <c r="I44" s="105">
        <f t="shared" si="25"/>
        <v>838546</v>
      </c>
      <c r="J44" s="105">
        <f t="shared" si="25"/>
        <v>0</v>
      </c>
      <c r="K44" s="105">
        <f t="shared" si="25"/>
        <v>838546</v>
      </c>
      <c r="L44" s="105">
        <f t="shared" si="25"/>
        <v>957417</v>
      </c>
      <c r="M44" s="105">
        <f t="shared" si="25"/>
        <v>0</v>
      </c>
      <c r="N44" s="105">
        <f t="shared" si="25"/>
        <v>957417</v>
      </c>
      <c r="O44" s="37"/>
      <c r="P44" s="105">
        <f t="shared" ref="P44:R44" si="26">P14+P17+P24+P33</f>
        <v>2565717</v>
      </c>
      <c r="Q44" s="105">
        <f t="shared" si="26"/>
        <v>0</v>
      </c>
      <c r="R44" s="105">
        <f t="shared" si="26"/>
        <v>2565717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114"/>
      <c r="J48" s="85"/>
      <c r="K48" s="85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5" sqref="H15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3" width="22" style="1" customWidth="1"/>
    <col min="14" max="14" width="20.710937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16384" width="9.140625" style="1"/>
  </cols>
  <sheetData>
    <row r="1" spans="1:41" ht="21" x14ac:dyDescent="0.35">
      <c r="B1" s="2" t="s">
        <v>41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451706-15921.17+9758.5</f>
        <v>445543.33</v>
      </c>
      <c r="G10" s="22">
        <f>G44</f>
        <v>0</v>
      </c>
      <c r="H10" s="23">
        <f>F10-G10</f>
        <v>445543.33</v>
      </c>
      <c r="I10" s="22">
        <v>557641</v>
      </c>
      <c r="J10" s="22">
        <f>J44</f>
        <v>0</v>
      </c>
      <c r="K10" s="23">
        <f>I10-J10</f>
        <v>557641</v>
      </c>
      <c r="L10" s="22">
        <f>668923-2736+2233.34</f>
        <v>668420.34</v>
      </c>
      <c r="M10" s="22">
        <f>M44</f>
        <v>0</v>
      </c>
      <c r="N10" s="23">
        <f>L10-M10</f>
        <v>668420.34</v>
      </c>
      <c r="O10" s="24"/>
      <c r="P10" s="22">
        <f>F10+I10+L10</f>
        <v>1671604.67</v>
      </c>
      <c r="Q10" s="22">
        <f>Q41</f>
        <v>0</v>
      </c>
      <c r="R10" s="23">
        <f>P10-Q10</f>
        <v>1671604.67</v>
      </c>
    </row>
    <row r="11" spans="1:41" ht="15.75" thickTop="1" x14ac:dyDescent="0.25"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43578</v>
      </c>
      <c r="G14" s="32">
        <f>SUM(G15:G16)</f>
        <v>0</v>
      </c>
      <c r="H14" s="33">
        <f>SUM(H15:H16)</f>
        <v>43578</v>
      </c>
      <c r="I14" s="32">
        <f>SUM(I15:I16)</f>
        <v>55764</v>
      </c>
      <c r="J14" s="32">
        <f t="shared" ref="J14" si="0">SUM(J15:J16)</f>
        <v>0</v>
      </c>
      <c r="K14" s="33">
        <f>SUM(K15:K16)</f>
        <v>55764</v>
      </c>
      <c r="L14" s="32">
        <f>SUM(L15:L16)</f>
        <v>66499</v>
      </c>
      <c r="M14" s="32">
        <f t="shared" ref="M14:N14" si="1">SUM(M15:M16)</f>
        <v>0</v>
      </c>
      <c r="N14" s="33">
        <f t="shared" si="1"/>
        <v>66499</v>
      </c>
      <c r="O14" s="34"/>
      <c r="P14" s="99">
        <f>SUM(P15:P16)</f>
        <v>165841</v>
      </c>
      <c r="Q14" s="99">
        <f t="shared" ref="Q14:R14" si="2">SUM(Q15:Q16)</f>
        <v>0</v>
      </c>
      <c r="R14" s="33">
        <f t="shared" si="2"/>
        <v>165841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138">
        <v>41000</v>
      </c>
      <c r="G15" s="58"/>
      <c r="H15" s="59">
        <f>F15-G15</f>
        <v>41000</v>
      </c>
      <c r="I15" s="60">
        <v>45084</v>
      </c>
      <c r="J15" s="61"/>
      <c r="K15" s="62">
        <f>I15-J15</f>
        <v>45084</v>
      </c>
      <c r="L15" s="63">
        <v>60000</v>
      </c>
      <c r="M15" s="61"/>
      <c r="N15" s="62">
        <f>L15-M15</f>
        <v>60000</v>
      </c>
      <c r="O15" s="37"/>
      <c r="P15" s="64">
        <f t="shared" ref="P15:P16" si="3">F15+I15+L15</f>
        <v>146084</v>
      </c>
      <c r="Q15" s="64">
        <f>G15+J15+M15</f>
        <v>0</v>
      </c>
      <c r="R15" s="64">
        <f>P15-Q15</f>
        <v>146084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138">
        <v>2578</v>
      </c>
      <c r="G16" s="58"/>
      <c r="H16" s="59">
        <f>F16-G16</f>
        <v>2578</v>
      </c>
      <c r="I16" s="60">
        <v>10680</v>
      </c>
      <c r="J16" s="61"/>
      <c r="K16" s="62">
        <f>I16-J16</f>
        <v>10680</v>
      </c>
      <c r="L16" s="63">
        <v>6499</v>
      </c>
      <c r="M16" s="61"/>
      <c r="N16" s="62">
        <f>L16-M16</f>
        <v>6499</v>
      </c>
      <c r="O16" s="37"/>
      <c r="P16" s="64">
        <f t="shared" si="3"/>
        <v>19757</v>
      </c>
      <c r="Q16" s="64">
        <f>G16+J16+M16</f>
        <v>0</v>
      </c>
      <c r="R16" s="64">
        <f>P16-Q16</f>
        <v>19757</v>
      </c>
      <c r="U16" s="1" t="s">
        <v>126</v>
      </c>
      <c r="V16" s="153">
        <f>F17+F24+L17+L24</f>
        <v>990703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89005</v>
      </c>
      <c r="G17" s="66">
        <f>SUM(G18:G23)</f>
        <v>0</v>
      </c>
      <c r="H17" s="67">
        <f t="shared" ref="H17" si="4">SUM(H18:H23)</f>
        <v>89005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343795</v>
      </c>
      <c r="M17" s="66">
        <f>SUM(M18:M23)</f>
        <v>0</v>
      </c>
      <c r="N17" s="67">
        <f t="shared" ref="N17" si="6">SUM(N18:N23)</f>
        <v>343795</v>
      </c>
      <c r="O17" s="48"/>
      <c r="P17" s="101">
        <f>SUM(P18:P23)</f>
        <v>432800</v>
      </c>
      <c r="Q17" s="101">
        <f t="shared" ref="Q17:R17" si="7">SUM(Q18:Q23)</f>
        <v>0</v>
      </c>
      <c r="R17" s="67">
        <f t="shared" si="7"/>
        <v>432800</v>
      </c>
      <c r="U17" s="1" t="s">
        <v>127</v>
      </c>
      <c r="V17" s="153">
        <f>F24+L24</f>
        <v>557903</v>
      </c>
      <c r="W17" s="1">
        <f>V17/V16</f>
        <v>0.56313849862168586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73505</v>
      </c>
      <c r="G18" s="58"/>
      <c r="H18" s="59">
        <f t="shared" ref="H18:H23" si="8">F18-G18</f>
        <v>73505</v>
      </c>
      <c r="I18" s="60"/>
      <c r="J18" s="61"/>
      <c r="K18" s="62">
        <f t="shared" ref="K18:K23" si="9">I18-J18</f>
        <v>0</v>
      </c>
      <c r="L18" s="63">
        <v>180000</v>
      </c>
      <c r="M18" s="61"/>
      <c r="N18" s="62">
        <f t="shared" ref="N18:N23" si="10">L18-M18</f>
        <v>180000</v>
      </c>
      <c r="O18" s="37"/>
      <c r="P18" s="64">
        <f t="shared" ref="P18:P23" si="11">F18+I18+L18</f>
        <v>253505</v>
      </c>
      <c r="Q18" s="64">
        <f>G18+J18+M18</f>
        <v>0</v>
      </c>
      <c r="R18" s="64">
        <f t="shared" ref="R18:R23" si="12">P18-Q18</f>
        <v>253505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3000</v>
      </c>
      <c r="G19" s="58"/>
      <c r="H19" s="59">
        <f t="shared" si="8"/>
        <v>3000</v>
      </c>
      <c r="I19" s="60"/>
      <c r="J19" s="61"/>
      <c r="K19" s="62">
        <f t="shared" si="9"/>
        <v>0</v>
      </c>
      <c r="L19" s="63">
        <v>70000</v>
      </c>
      <c r="M19" s="61"/>
      <c r="N19" s="62">
        <f t="shared" si="10"/>
        <v>70000</v>
      </c>
      <c r="O19" s="37"/>
      <c r="P19" s="64">
        <f t="shared" si="11"/>
        <v>73000</v>
      </c>
      <c r="Q19" s="64">
        <f>G19+J19+M19</f>
        <v>0</v>
      </c>
      <c r="R19" s="64">
        <f t="shared" si="12"/>
        <v>73000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12500</v>
      </c>
      <c r="G20" s="58"/>
      <c r="H20" s="59">
        <f t="shared" si="8"/>
        <v>12500</v>
      </c>
      <c r="I20" s="60"/>
      <c r="J20" s="61"/>
      <c r="K20" s="62">
        <f t="shared" si="9"/>
        <v>0</v>
      </c>
      <c r="L20" s="63">
        <v>93795</v>
      </c>
      <c r="M20" s="61"/>
      <c r="N20" s="62">
        <f t="shared" si="10"/>
        <v>93795</v>
      </c>
      <c r="O20" s="37"/>
      <c r="P20" s="64">
        <f t="shared" si="11"/>
        <v>106295</v>
      </c>
      <c r="Q20" s="64">
        <f>G20+J20+M20</f>
        <v>0</v>
      </c>
      <c r="R20" s="64">
        <f t="shared" si="12"/>
        <v>106295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303202</v>
      </c>
      <c r="G24" s="66">
        <f>SUM(G25:G32)</f>
        <v>0</v>
      </c>
      <c r="H24" s="67">
        <f>SUM(H25:H32)</f>
        <v>303202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254701</v>
      </c>
      <c r="M24" s="66">
        <f t="shared" ref="M24:N24" si="15">SUM(M25:M32)</f>
        <v>0</v>
      </c>
      <c r="N24" s="67">
        <f t="shared" si="15"/>
        <v>254701</v>
      </c>
      <c r="O24" s="48"/>
      <c r="P24" s="101">
        <f>SUM(P25:P32)</f>
        <v>557903</v>
      </c>
      <c r="Q24" s="101">
        <f t="shared" ref="Q24:R24" si="16">SUM(Q25:Q32)</f>
        <v>0</v>
      </c>
      <c r="R24" s="67">
        <f t="shared" si="16"/>
        <v>557903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113351</v>
      </c>
      <c r="G25" s="58"/>
      <c r="H25" s="59">
        <f>F25-G25</f>
        <v>113351</v>
      </c>
      <c r="I25" s="60"/>
      <c r="J25" s="61"/>
      <c r="K25" s="62">
        <f>I25-J25</f>
        <v>0</v>
      </c>
      <c r="L25" s="63">
        <v>0</v>
      </c>
      <c r="M25" s="61"/>
      <c r="N25" s="62">
        <f>L25-M25</f>
        <v>0</v>
      </c>
      <c r="O25" s="37"/>
      <c r="P25" s="64">
        <f t="shared" ref="P25:Q43" si="17">F25+I25+L25</f>
        <v>113351</v>
      </c>
      <c r="Q25" s="64">
        <f>G25+J25+M25</f>
        <v>0</v>
      </c>
      <c r="R25" s="64">
        <f>P25-Q25</f>
        <v>113351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113351</v>
      </c>
      <c r="G26" s="58"/>
      <c r="H26" s="59">
        <f>F26-G26</f>
        <v>113351</v>
      </c>
      <c r="I26" s="60"/>
      <c r="J26" s="61"/>
      <c r="K26" s="62">
        <f>I26-J26</f>
        <v>0</v>
      </c>
      <c r="L26" s="63">
        <v>0</v>
      </c>
      <c r="M26" s="61"/>
      <c r="N26" s="62">
        <f>L26-M26</f>
        <v>0</v>
      </c>
      <c r="O26" s="37"/>
      <c r="P26" s="64">
        <f t="shared" si="17"/>
        <v>113351</v>
      </c>
      <c r="Q26" s="64">
        <f>G26+J26+M26</f>
        <v>0</v>
      </c>
      <c r="R26" s="64">
        <f>P26-Q26</f>
        <v>113351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>
        <v>0</v>
      </c>
      <c r="G27" s="58"/>
      <c r="H27" s="59">
        <f>F27-G27</f>
        <v>0</v>
      </c>
      <c r="I27" s="60"/>
      <c r="J27" s="61"/>
      <c r="K27" s="62">
        <f>I27-J27</f>
        <v>0</v>
      </c>
      <c r="L27" s="63">
        <v>0</v>
      </c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>
        <v>0</v>
      </c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>
        <v>76701</v>
      </c>
      <c r="M30" s="61"/>
      <c r="N30" s="62">
        <f t="shared" si="19"/>
        <v>76701</v>
      </c>
      <c r="O30" s="37"/>
      <c r="P30" s="64">
        <f t="shared" si="17"/>
        <v>76701</v>
      </c>
      <c r="Q30" s="64">
        <f t="shared" si="18"/>
        <v>0</v>
      </c>
      <c r="R30" s="64">
        <f t="shared" si="22"/>
        <v>76701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>
        <v>76500</v>
      </c>
      <c r="G32" s="58"/>
      <c r="H32" s="59">
        <f>F32-G32</f>
        <v>76500</v>
      </c>
      <c r="I32" s="60"/>
      <c r="J32" s="61"/>
      <c r="K32" s="62">
        <f>I32-J32</f>
        <v>0</v>
      </c>
      <c r="L32" s="63">
        <v>178000</v>
      </c>
      <c r="M32" s="61"/>
      <c r="N32" s="62">
        <f>L32-M32</f>
        <v>178000</v>
      </c>
      <c r="O32" s="37"/>
      <c r="P32" s="64">
        <f t="shared" si="17"/>
        <v>254500</v>
      </c>
      <c r="Q32" s="64">
        <f>G32+J32+M32</f>
        <v>0</v>
      </c>
      <c r="R32" s="64">
        <f>P32-Q32</f>
        <v>254500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501877</v>
      </c>
      <c r="J33" s="66">
        <f>SUM(J34:J43)</f>
        <v>0</v>
      </c>
      <c r="K33" s="67">
        <f>SUM(K34:K43)</f>
        <v>501877</v>
      </c>
      <c r="L33" s="66"/>
      <c r="M33" s="66"/>
      <c r="N33" s="67"/>
      <c r="O33" s="48"/>
      <c r="P33" s="101">
        <f>SUM(P34:P43)</f>
        <v>501877</v>
      </c>
      <c r="Q33" s="101">
        <f>SUM(Q34:Q43)</f>
        <v>0</v>
      </c>
      <c r="R33" s="67">
        <f>SUM(R34:R43)</f>
        <v>501877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60000</v>
      </c>
      <c r="J34" s="58"/>
      <c r="K34" s="59">
        <f t="shared" ref="K34:K43" si="23">I34-J34</f>
        <v>60000</v>
      </c>
      <c r="L34" s="199"/>
      <c r="M34" s="189"/>
      <c r="N34" s="190"/>
      <c r="O34" s="37"/>
      <c r="P34" s="59">
        <f t="shared" si="17"/>
        <v>60000</v>
      </c>
      <c r="Q34" s="59">
        <f t="shared" si="17"/>
        <v>0</v>
      </c>
      <c r="R34" s="59">
        <f t="shared" ref="R34:R43" si="24">P34-Q34</f>
        <v>60000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40000</v>
      </c>
      <c r="J35" s="58"/>
      <c r="K35" s="59">
        <f t="shared" si="23"/>
        <v>40000</v>
      </c>
      <c r="L35" s="200"/>
      <c r="M35" s="192"/>
      <c r="N35" s="193"/>
      <c r="O35" s="37"/>
      <c r="P35" s="59">
        <f t="shared" si="17"/>
        <v>40000</v>
      </c>
      <c r="Q35" s="59">
        <f t="shared" si="17"/>
        <v>0</v>
      </c>
      <c r="R35" s="59">
        <f t="shared" si="24"/>
        <v>40000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25000</v>
      </c>
      <c r="J36" s="58"/>
      <c r="K36" s="59">
        <f t="shared" si="23"/>
        <v>25000</v>
      </c>
      <c r="L36" s="200"/>
      <c r="M36" s="192"/>
      <c r="N36" s="193"/>
      <c r="O36" s="37"/>
      <c r="P36" s="59">
        <f t="shared" si="17"/>
        <v>25000</v>
      </c>
      <c r="Q36" s="59">
        <f t="shared" si="17"/>
        <v>0</v>
      </c>
      <c r="R36" s="59">
        <f t="shared" si="24"/>
        <v>25000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340177</v>
      </c>
      <c r="J37" s="58"/>
      <c r="K37" s="59">
        <f t="shared" si="23"/>
        <v>340177</v>
      </c>
      <c r="L37" s="200"/>
      <c r="M37" s="192"/>
      <c r="N37" s="193"/>
      <c r="O37" s="37"/>
      <c r="P37" s="59">
        <f t="shared" si="17"/>
        <v>340177</v>
      </c>
      <c r="Q37" s="59">
        <f t="shared" si="17"/>
        <v>0</v>
      </c>
      <c r="R37" s="59">
        <f t="shared" si="24"/>
        <v>340177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2700</v>
      </c>
      <c r="J39" s="58"/>
      <c r="K39" s="59">
        <f t="shared" si="23"/>
        <v>2700</v>
      </c>
      <c r="L39" s="200"/>
      <c r="M39" s="192"/>
      <c r="N39" s="193"/>
      <c r="O39" s="37"/>
      <c r="P39" s="59">
        <f t="shared" si="17"/>
        <v>2700</v>
      </c>
      <c r="Q39" s="59">
        <f t="shared" si="17"/>
        <v>0</v>
      </c>
      <c r="R39" s="59">
        <f t="shared" si="24"/>
        <v>2700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2500</v>
      </c>
      <c r="J40" s="58"/>
      <c r="K40" s="59">
        <f t="shared" si="23"/>
        <v>2500</v>
      </c>
      <c r="L40" s="200"/>
      <c r="M40" s="192"/>
      <c r="N40" s="193"/>
      <c r="O40" s="37"/>
      <c r="P40" s="59">
        <f t="shared" si="17"/>
        <v>2500</v>
      </c>
      <c r="Q40" s="59">
        <f t="shared" si="17"/>
        <v>0</v>
      </c>
      <c r="R40" s="59">
        <f t="shared" si="24"/>
        <v>2500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1500</v>
      </c>
      <c r="J41" s="58"/>
      <c r="K41" s="59">
        <f t="shared" si="23"/>
        <v>1500</v>
      </c>
      <c r="L41" s="200"/>
      <c r="M41" s="192"/>
      <c r="N41" s="193"/>
      <c r="O41" s="37"/>
      <c r="P41" s="59">
        <f t="shared" si="17"/>
        <v>1500</v>
      </c>
      <c r="Q41" s="59">
        <f t="shared" si="17"/>
        <v>0</v>
      </c>
      <c r="R41" s="59">
        <f t="shared" si="24"/>
        <v>1500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30000</v>
      </c>
      <c r="J42" s="74"/>
      <c r="K42" s="75">
        <f t="shared" si="23"/>
        <v>30000</v>
      </c>
      <c r="L42" s="200"/>
      <c r="M42" s="192"/>
      <c r="N42" s="193"/>
      <c r="O42" s="37"/>
      <c r="P42" s="59">
        <f t="shared" si="17"/>
        <v>30000</v>
      </c>
      <c r="Q42" s="59">
        <f t="shared" si="17"/>
        <v>0</v>
      </c>
      <c r="R42" s="59">
        <f t="shared" si="24"/>
        <v>30000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435785</v>
      </c>
      <c r="G44" s="106">
        <f t="shared" si="25"/>
        <v>0</v>
      </c>
      <c r="H44" s="106">
        <f t="shared" si="25"/>
        <v>435785</v>
      </c>
      <c r="I44" s="105">
        <f t="shared" si="25"/>
        <v>557641</v>
      </c>
      <c r="J44" s="105">
        <f t="shared" si="25"/>
        <v>0</v>
      </c>
      <c r="K44" s="105">
        <f t="shared" si="25"/>
        <v>557641</v>
      </c>
      <c r="L44" s="105">
        <f t="shared" si="25"/>
        <v>664995</v>
      </c>
      <c r="M44" s="105">
        <f t="shared" si="25"/>
        <v>0</v>
      </c>
      <c r="N44" s="105">
        <f t="shared" si="25"/>
        <v>664995</v>
      </c>
      <c r="O44" s="37"/>
      <c r="P44" s="105">
        <f t="shared" ref="P44:R44" si="26">P14+P17+P24+P33</f>
        <v>1658421</v>
      </c>
      <c r="Q44" s="105">
        <f t="shared" si="26"/>
        <v>0</v>
      </c>
      <c r="R44" s="105">
        <f t="shared" si="26"/>
        <v>1658421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3"/>
      <c r="H48" s="3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203" t="s">
        <v>137</v>
      </c>
      <c r="B54" s="203"/>
      <c r="C54" s="203"/>
      <c r="D54" s="203"/>
      <c r="E54" s="203"/>
      <c r="F54" s="203"/>
    </row>
    <row r="55" spans="1:15" x14ac:dyDescent="0.25">
      <c r="A55" s="203" t="s">
        <v>138</v>
      </c>
      <c r="B55" s="203"/>
      <c r="C55" s="203"/>
      <c r="D55" s="203"/>
      <c r="E55" s="203"/>
      <c r="F55" s="203"/>
    </row>
    <row r="56" spans="1:15" x14ac:dyDescent="0.25">
      <c r="A56" s="203" t="s">
        <v>139</v>
      </c>
      <c r="B56" s="203"/>
      <c r="C56" s="203"/>
      <c r="D56" s="203"/>
      <c r="E56" s="203"/>
      <c r="F56" s="203"/>
    </row>
    <row r="57" spans="1:15" x14ac:dyDescent="0.25">
      <c r="A57" s="160" t="s">
        <v>140</v>
      </c>
      <c r="B57" s="160"/>
      <c r="C57" s="160"/>
      <c r="D57" s="160"/>
      <c r="E57" s="160"/>
      <c r="F57" s="160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203" t="s">
        <v>123</v>
      </c>
      <c r="B59" s="203"/>
      <c r="C59" s="203"/>
      <c r="D59" s="203"/>
      <c r="E59" s="203"/>
      <c r="F59" s="203"/>
    </row>
    <row r="60" spans="1:15" x14ac:dyDescent="0.25">
      <c r="A60" s="203" t="s">
        <v>135</v>
      </c>
      <c r="B60" s="203"/>
      <c r="C60" s="203"/>
      <c r="D60" s="203"/>
      <c r="E60" s="203"/>
      <c r="F60" s="203"/>
    </row>
    <row r="61" spans="1:15" x14ac:dyDescent="0.25">
      <c r="A61" s="206" t="s">
        <v>136</v>
      </c>
      <c r="B61" s="206"/>
      <c r="C61" s="206"/>
      <c r="D61" s="206"/>
      <c r="E61" s="206"/>
      <c r="F61" s="206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5" sqref="H15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4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0" width="9.140625" style="1"/>
    <col min="21" max="21" width="20.5703125" style="1" bestFit="1" customWidth="1"/>
    <col min="22" max="22" width="11.28515625" style="1" bestFit="1" customWidth="1"/>
    <col min="23" max="16384" width="9.140625" style="1"/>
  </cols>
  <sheetData>
    <row r="1" spans="1:41" ht="21" x14ac:dyDescent="0.35">
      <c r="B1" s="2" t="s">
        <v>42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B10" s="80"/>
      <c r="C10" s="80"/>
      <c r="D10" s="80"/>
      <c r="E10" s="21" t="s">
        <v>9</v>
      </c>
      <c r="F10" s="22">
        <f>834169-4064.89+2525.44</f>
        <v>832629.54999999993</v>
      </c>
      <c r="G10" s="22">
        <f>G44</f>
        <v>0</v>
      </c>
      <c r="H10" s="23">
        <f>F10-G10</f>
        <v>832629.54999999993</v>
      </c>
      <c r="I10" s="22">
        <v>992606</v>
      </c>
      <c r="J10" s="22">
        <f>J44</f>
        <v>0</v>
      </c>
      <c r="K10" s="23">
        <f>I10-J10</f>
        <v>992606</v>
      </c>
      <c r="L10" s="22">
        <f>821225-2484+2032</f>
        <v>820773</v>
      </c>
      <c r="M10" s="22">
        <f>M44</f>
        <v>0</v>
      </c>
      <c r="N10" s="23">
        <f>L10-M10</f>
        <v>820773</v>
      </c>
      <c r="O10" s="24"/>
      <c r="P10" s="22">
        <f>F10+I10+L10</f>
        <v>2646008.5499999998</v>
      </c>
      <c r="Q10" s="22">
        <f>Q41</f>
        <v>0</v>
      </c>
      <c r="R10" s="23">
        <f>P10-Q10</f>
        <v>2646008.5499999998</v>
      </c>
    </row>
    <row r="11" spans="1:41" ht="15.75" thickTop="1" x14ac:dyDescent="0.25">
      <c r="B11" s="80"/>
      <c r="C11" s="80"/>
      <c r="D11" s="80"/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83416</v>
      </c>
      <c r="G14" s="32">
        <f>SUM(G15:G16)</f>
        <v>0</v>
      </c>
      <c r="H14" s="33">
        <f>SUM(H15:H16)</f>
        <v>83416</v>
      </c>
      <c r="I14" s="32">
        <f>SUM(I15:I16)</f>
        <v>99265</v>
      </c>
      <c r="J14" s="32">
        <f t="shared" ref="J14:K14" si="0">SUM(J15:J16)</f>
        <v>0</v>
      </c>
      <c r="K14" s="33">
        <f t="shared" si="0"/>
        <v>99265</v>
      </c>
      <c r="L14" s="32">
        <f>SUM(L15:L16)</f>
        <v>82119</v>
      </c>
      <c r="M14" s="32">
        <f t="shared" ref="M14:N14" si="1">SUM(M15:M16)</f>
        <v>0</v>
      </c>
      <c r="N14" s="33">
        <f t="shared" si="1"/>
        <v>82119</v>
      </c>
      <c r="O14" s="34"/>
      <c r="P14" s="99">
        <f>SUM(P15:P16)</f>
        <v>264800</v>
      </c>
      <c r="Q14" s="99">
        <f t="shared" ref="Q14:R14" si="2">SUM(Q15:Q16)</f>
        <v>0</v>
      </c>
      <c r="R14" s="33">
        <f t="shared" si="2"/>
        <v>264800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61500</v>
      </c>
      <c r="G15" s="58"/>
      <c r="H15" s="59">
        <f>F15-G15</f>
        <v>61500</v>
      </c>
      <c r="I15" s="60">
        <v>74265</v>
      </c>
      <c r="J15" s="61"/>
      <c r="K15" s="62">
        <f>I15-J15</f>
        <v>74265</v>
      </c>
      <c r="L15" s="63">
        <v>54500</v>
      </c>
      <c r="M15" s="61"/>
      <c r="N15" s="62">
        <f>L15-M15</f>
        <v>54500</v>
      </c>
      <c r="O15" s="37"/>
      <c r="P15" s="64">
        <f t="shared" ref="P15:P16" si="3">F15+I15+L15</f>
        <v>190265</v>
      </c>
      <c r="Q15" s="64">
        <f>G15+J15+M15</f>
        <v>0</v>
      </c>
      <c r="R15" s="64">
        <f>P15-Q15</f>
        <v>190265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21916</v>
      </c>
      <c r="G16" s="58"/>
      <c r="H16" s="59">
        <f>F16-G16</f>
        <v>21916</v>
      </c>
      <c r="I16" s="60">
        <v>25000</v>
      </c>
      <c r="J16" s="61"/>
      <c r="K16" s="62">
        <f>I16-J16</f>
        <v>25000</v>
      </c>
      <c r="L16" s="63">
        <v>27619</v>
      </c>
      <c r="M16" s="61"/>
      <c r="N16" s="62">
        <f>L16-M16</f>
        <v>27619</v>
      </c>
      <c r="O16" s="37"/>
      <c r="P16" s="64">
        <f t="shared" si="3"/>
        <v>74535</v>
      </c>
      <c r="Q16" s="64">
        <f>G16+J16+M16</f>
        <v>0</v>
      </c>
      <c r="R16" s="64">
        <f>P16-Q16</f>
        <v>74535</v>
      </c>
      <c r="U16" s="1" t="s">
        <v>126</v>
      </c>
      <c r="V16" s="153">
        <f>F17+F24+L17+L24</f>
        <v>1489859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337839</v>
      </c>
      <c r="G17" s="66">
        <f>SUM(G18:G23)</f>
        <v>0</v>
      </c>
      <c r="H17" s="67">
        <f t="shared" ref="H17" si="4">SUM(H18:H23)</f>
        <v>337839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406510</v>
      </c>
      <c r="M17" s="66">
        <f>SUM(M18:M23)</f>
        <v>0</v>
      </c>
      <c r="N17" s="67">
        <f t="shared" ref="N17" si="6">SUM(N18:N23)</f>
        <v>406510</v>
      </c>
      <c r="O17" s="48"/>
      <c r="P17" s="101">
        <f>SUM(P18:P23)</f>
        <v>744349</v>
      </c>
      <c r="Q17" s="101">
        <f t="shared" ref="Q17:R17" si="7">SUM(Q18:Q23)</f>
        <v>0</v>
      </c>
      <c r="R17" s="67">
        <f t="shared" si="7"/>
        <v>744349</v>
      </c>
      <c r="U17" s="1" t="s">
        <v>127</v>
      </c>
      <c r="V17" s="153">
        <f>F24+L24</f>
        <v>745510</v>
      </c>
      <c r="W17" s="1">
        <f>V17/V16</f>
        <v>0.50038963418685933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298750</v>
      </c>
      <c r="G18" s="58"/>
      <c r="H18" s="59">
        <f t="shared" ref="H18:H23" si="8">F18-G18</f>
        <v>298750</v>
      </c>
      <c r="I18" s="60"/>
      <c r="J18" s="61"/>
      <c r="K18" s="62">
        <f t="shared" ref="K18:K23" si="9">I18-J18</f>
        <v>0</v>
      </c>
      <c r="L18" s="63">
        <v>305280</v>
      </c>
      <c r="M18" s="61"/>
      <c r="N18" s="62">
        <f t="shared" ref="N18:N23" si="10">L18-M18</f>
        <v>305280</v>
      </c>
      <c r="O18" s="37"/>
      <c r="P18" s="64">
        <f t="shared" ref="P18:P23" si="11">F18+I18+L18</f>
        <v>604030</v>
      </c>
      <c r="Q18" s="64">
        <f>G18+J18+M18</f>
        <v>0</v>
      </c>
      <c r="R18" s="64">
        <f t="shared" ref="R18:R23" si="12">P18-Q18</f>
        <v>604030</v>
      </c>
      <c r="U18" s="1" t="s">
        <v>128</v>
      </c>
      <c r="V18" s="153">
        <f>G24+M24</f>
        <v>0</v>
      </c>
      <c r="W18" s="154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39089</v>
      </c>
      <c r="G19" s="58"/>
      <c r="H19" s="59">
        <f t="shared" si="8"/>
        <v>39089</v>
      </c>
      <c r="I19" s="60"/>
      <c r="J19" s="61"/>
      <c r="K19" s="62">
        <f t="shared" si="9"/>
        <v>0</v>
      </c>
      <c r="L19" s="63">
        <v>101230</v>
      </c>
      <c r="M19" s="61"/>
      <c r="N19" s="62">
        <f t="shared" si="10"/>
        <v>101230</v>
      </c>
      <c r="O19" s="37"/>
      <c r="P19" s="64">
        <f t="shared" si="11"/>
        <v>140319</v>
      </c>
      <c r="Q19" s="64">
        <f>G19+J19+M19</f>
        <v>0</v>
      </c>
      <c r="R19" s="64">
        <f t="shared" si="12"/>
        <v>140319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412914</v>
      </c>
      <c r="G24" s="66">
        <f>SUM(G25:G32)</f>
        <v>0</v>
      </c>
      <c r="H24" s="67">
        <f>SUM(H25:H32)</f>
        <v>412914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332596</v>
      </c>
      <c r="M24" s="66">
        <f t="shared" ref="M24:N24" si="15">SUM(M25:M32)</f>
        <v>0</v>
      </c>
      <c r="N24" s="67">
        <f t="shared" si="15"/>
        <v>332596</v>
      </c>
      <c r="O24" s="48"/>
      <c r="P24" s="101">
        <f>SUM(P25:P32)</f>
        <v>745510</v>
      </c>
      <c r="Q24" s="101">
        <f t="shared" ref="Q24:R24" si="16">SUM(Q25:Q32)</f>
        <v>0</v>
      </c>
      <c r="R24" s="67">
        <f t="shared" si="16"/>
        <v>745510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192914</v>
      </c>
      <c r="G25" s="58"/>
      <c r="H25" s="59">
        <f>F25-G25</f>
        <v>192914</v>
      </c>
      <c r="I25" s="60"/>
      <c r="J25" s="61"/>
      <c r="K25" s="62">
        <f>I25-J25</f>
        <v>0</v>
      </c>
      <c r="L25" s="63">
        <v>170596</v>
      </c>
      <c r="M25" s="61"/>
      <c r="N25" s="62">
        <f>L25-M25</f>
        <v>170596</v>
      </c>
      <c r="O25" s="37"/>
      <c r="P25" s="64">
        <f t="shared" ref="P25:Q43" si="17">F25+I25+L25</f>
        <v>363510</v>
      </c>
      <c r="Q25" s="64">
        <f>G25+J25+M25</f>
        <v>0</v>
      </c>
      <c r="R25" s="64">
        <f>P25-Q25</f>
        <v>363510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45000</v>
      </c>
      <c r="G26" s="58"/>
      <c r="H26" s="59">
        <f>F26-G26</f>
        <v>45000</v>
      </c>
      <c r="I26" s="60"/>
      <c r="J26" s="61"/>
      <c r="K26" s="62">
        <f>I26-J26</f>
        <v>0</v>
      </c>
      <c r="L26" s="63">
        <v>40000</v>
      </c>
      <c r="M26" s="61"/>
      <c r="N26" s="62">
        <f>L26-M26</f>
        <v>40000</v>
      </c>
      <c r="O26" s="37"/>
      <c r="P26" s="64">
        <f t="shared" si="17"/>
        <v>85000</v>
      </c>
      <c r="Q26" s="64">
        <f>G26+J26+M26</f>
        <v>0</v>
      </c>
      <c r="R26" s="64">
        <f>P26-Q26</f>
        <v>85000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>
        <v>175000</v>
      </c>
      <c r="G27" s="58"/>
      <c r="H27" s="59">
        <f>F27-G27</f>
        <v>175000</v>
      </c>
      <c r="I27" s="60"/>
      <c r="J27" s="61"/>
      <c r="K27" s="62">
        <f>I27-J27</f>
        <v>0</v>
      </c>
      <c r="L27" s="63">
        <v>122000</v>
      </c>
      <c r="M27" s="61"/>
      <c r="N27" s="62">
        <f>L27-M27</f>
        <v>122000</v>
      </c>
      <c r="O27" s="37"/>
      <c r="P27" s="64">
        <f t="shared" si="17"/>
        <v>297000</v>
      </c>
      <c r="Q27" s="64">
        <f t="shared" ref="Q27:Q31" si="18">G27+J27+M27</f>
        <v>0</v>
      </c>
      <c r="R27" s="64">
        <f>P27-Q27</f>
        <v>297000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893341</v>
      </c>
      <c r="J33" s="66">
        <f>SUM(J34:J43)</f>
        <v>0</v>
      </c>
      <c r="K33" s="67">
        <f>SUM(K34:K43)</f>
        <v>893341</v>
      </c>
      <c r="L33" s="66"/>
      <c r="M33" s="66"/>
      <c r="N33" s="67"/>
      <c r="O33" s="48"/>
      <c r="P33" s="101">
        <f>SUM(P34:P43)</f>
        <v>893341</v>
      </c>
      <c r="Q33" s="101">
        <f>SUM(Q34:Q43)</f>
        <v>0</v>
      </c>
      <c r="R33" s="67">
        <f>SUM(R34:R43)</f>
        <v>893341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153660</v>
      </c>
      <c r="J34" s="58"/>
      <c r="K34" s="59">
        <f t="shared" ref="K34:K43" si="23">I34-J34</f>
        <v>153660</v>
      </c>
      <c r="L34" s="199"/>
      <c r="M34" s="189"/>
      <c r="N34" s="190"/>
      <c r="O34" s="37"/>
      <c r="P34" s="59">
        <f t="shared" si="17"/>
        <v>153660</v>
      </c>
      <c r="Q34" s="59">
        <f t="shared" si="17"/>
        <v>0</v>
      </c>
      <c r="R34" s="59">
        <f t="shared" ref="R34:R43" si="24">P34-Q34</f>
        <v>153660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739681</v>
      </c>
      <c r="J35" s="58"/>
      <c r="K35" s="59">
        <f t="shared" si="23"/>
        <v>739681</v>
      </c>
      <c r="L35" s="200"/>
      <c r="M35" s="192"/>
      <c r="N35" s="193"/>
      <c r="O35" s="37"/>
      <c r="P35" s="59">
        <f t="shared" si="17"/>
        <v>739681</v>
      </c>
      <c r="Q35" s="59">
        <f t="shared" si="17"/>
        <v>0</v>
      </c>
      <c r="R35" s="59">
        <f t="shared" si="24"/>
        <v>739681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/>
      <c r="J36" s="58"/>
      <c r="K36" s="59">
        <f t="shared" si="23"/>
        <v>0</v>
      </c>
      <c r="L36" s="200"/>
      <c r="M36" s="192"/>
      <c r="N36" s="193"/>
      <c r="O36" s="37"/>
      <c r="P36" s="59">
        <f t="shared" si="17"/>
        <v>0</v>
      </c>
      <c r="Q36" s="59">
        <f t="shared" si="17"/>
        <v>0</v>
      </c>
      <c r="R36" s="59">
        <f t="shared" si="24"/>
        <v>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/>
      <c r="J37" s="58"/>
      <c r="K37" s="59">
        <f t="shared" si="23"/>
        <v>0</v>
      </c>
      <c r="L37" s="200"/>
      <c r="M37" s="192"/>
      <c r="N37" s="193"/>
      <c r="O37" s="37"/>
      <c r="P37" s="59">
        <f t="shared" si="17"/>
        <v>0</v>
      </c>
      <c r="Q37" s="59">
        <f t="shared" si="17"/>
        <v>0</v>
      </c>
      <c r="R37" s="59">
        <f t="shared" si="24"/>
        <v>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/>
      <c r="J39" s="58"/>
      <c r="K39" s="59">
        <f t="shared" si="23"/>
        <v>0</v>
      </c>
      <c r="L39" s="200"/>
      <c r="M39" s="192"/>
      <c r="N39" s="193"/>
      <c r="O39" s="37"/>
      <c r="P39" s="59">
        <f t="shared" si="17"/>
        <v>0</v>
      </c>
      <c r="Q39" s="59">
        <f t="shared" si="17"/>
        <v>0</v>
      </c>
      <c r="R39" s="59">
        <f t="shared" si="24"/>
        <v>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/>
      <c r="J40" s="58"/>
      <c r="K40" s="59">
        <f t="shared" si="23"/>
        <v>0</v>
      </c>
      <c r="L40" s="200"/>
      <c r="M40" s="192"/>
      <c r="N40" s="193"/>
      <c r="O40" s="37"/>
      <c r="P40" s="59">
        <f t="shared" si="17"/>
        <v>0</v>
      </c>
      <c r="Q40" s="59">
        <f t="shared" si="17"/>
        <v>0</v>
      </c>
      <c r="R40" s="59">
        <f t="shared" si="24"/>
        <v>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834169</v>
      </c>
      <c r="G44" s="106">
        <f t="shared" si="25"/>
        <v>0</v>
      </c>
      <c r="H44" s="106">
        <f t="shared" si="25"/>
        <v>834169</v>
      </c>
      <c r="I44" s="105">
        <f t="shared" si="25"/>
        <v>992606</v>
      </c>
      <c r="J44" s="105">
        <f t="shared" si="25"/>
        <v>0</v>
      </c>
      <c r="K44" s="105">
        <f t="shared" si="25"/>
        <v>992606</v>
      </c>
      <c r="L44" s="105">
        <f t="shared" si="25"/>
        <v>821225</v>
      </c>
      <c r="M44" s="105">
        <f t="shared" si="25"/>
        <v>0</v>
      </c>
      <c r="N44" s="105">
        <f t="shared" si="25"/>
        <v>821225</v>
      </c>
      <c r="O44" s="37"/>
      <c r="P44" s="105">
        <f t="shared" ref="P44:R44" si="26">P14+P17+P24+P33</f>
        <v>2648000</v>
      </c>
      <c r="Q44" s="105">
        <f t="shared" si="26"/>
        <v>0</v>
      </c>
      <c r="R44" s="105">
        <f t="shared" si="26"/>
        <v>2648000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54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60" t="s">
        <v>141</v>
      </c>
      <c r="B54" s="160"/>
      <c r="C54" s="160"/>
      <c r="D54" s="160"/>
      <c r="E54" s="160"/>
      <c r="F54" s="160"/>
      <c r="G54" s="136"/>
    </row>
    <row r="55" spans="1:15" x14ac:dyDescent="0.25">
      <c r="A55" s="160" t="s">
        <v>142</v>
      </c>
      <c r="B55" s="160"/>
      <c r="C55" s="160"/>
      <c r="D55" s="160"/>
      <c r="E55" s="160"/>
      <c r="F55" s="160"/>
      <c r="G55" s="136"/>
    </row>
    <row r="56" spans="1:15" x14ac:dyDescent="0.25">
      <c r="A56" s="160" t="s">
        <v>143</v>
      </c>
      <c r="B56" s="160"/>
      <c r="C56" s="160"/>
      <c r="D56" s="160"/>
      <c r="E56" s="160"/>
      <c r="F56" s="160"/>
      <c r="G56" s="136"/>
    </row>
    <row r="57" spans="1:15" x14ac:dyDescent="0.25">
      <c r="B57" s="161"/>
      <c r="C57" s="80"/>
      <c r="D57" s="80"/>
      <c r="E57" s="80"/>
      <c r="F57" s="80"/>
      <c r="G57" s="136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.25" header="0.5" footer="0.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.25" header="0.5" footer="0.5"/>
      <printOptions horizontalCentered="1"/>
      <pageSetup scale="65" orientation="landscape" r:id="rId2"/>
      <headerFooter alignWithMargins="0"/>
    </customSheetView>
  </customSheetViews>
  <mergeCells count="21">
    <mergeCell ref="A60:F60"/>
    <mergeCell ref="A61:F61"/>
    <mergeCell ref="A62:F62"/>
    <mergeCell ref="L34:N43"/>
    <mergeCell ref="A53:F53"/>
    <mergeCell ref="A58:F58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.25" header="0.5" footer="0.5"/>
  <pageSetup scale="65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2.5703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43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v>989907</v>
      </c>
      <c r="G10" s="22">
        <f>G44</f>
        <v>0</v>
      </c>
      <c r="H10" s="23">
        <f>F10-G10</f>
        <v>989907</v>
      </c>
      <c r="I10" s="22">
        <v>972799</v>
      </c>
      <c r="J10" s="22">
        <f>J44</f>
        <v>0</v>
      </c>
      <c r="K10" s="23">
        <f>I10-J10</f>
        <v>972799</v>
      </c>
      <c r="L10" s="22">
        <v>865755</v>
      </c>
      <c r="M10" s="22">
        <f>M44</f>
        <v>0</v>
      </c>
      <c r="N10" s="23">
        <f>L10-M10</f>
        <v>865755</v>
      </c>
      <c r="O10" s="24"/>
      <c r="P10" s="22">
        <f>F10+I10+L10</f>
        <v>2828461</v>
      </c>
      <c r="Q10" s="22">
        <f>Q41</f>
        <v>0</v>
      </c>
      <c r="R10" s="23">
        <f>P10-Q10</f>
        <v>2828461</v>
      </c>
    </row>
    <row r="11" spans="1:41" ht="15.75" thickTop="1" x14ac:dyDescent="0.25">
      <c r="B11" s="134" t="s">
        <v>106</v>
      </c>
      <c r="C11" s="134"/>
      <c r="H11" s="6"/>
      <c r="K11" s="6"/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98990</v>
      </c>
      <c r="G14" s="32">
        <f>SUM(G15:G16)</f>
        <v>0</v>
      </c>
      <c r="H14" s="33">
        <f>SUM(H15:H16)</f>
        <v>98990</v>
      </c>
      <c r="I14" s="32">
        <f>SUM(I15:I16)</f>
        <v>97279</v>
      </c>
      <c r="J14" s="32">
        <f t="shared" ref="J14:K14" si="0">SUM(J15:J16)</f>
        <v>0</v>
      </c>
      <c r="K14" s="33">
        <f t="shared" si="0"/>
        <v>97279</v>
      </c>
      <c r="L14" s="32">
        <f>SUM(L15:L16)</f>
        <v>86575</v>
      </c>
      <c r="M14" s="32">
        <f t="shared" ref="M14:N14" si="1">SUM(M15:M16)</f>
        <v>0</v>
      </c>
      <c r="N14" s="33">
        <f t="shared" si="1"/>
        <v>86575</v>
      </c>
      <c r="O14" s="34"/>
      <c r="P14" s="99">
        <f>SUM(P15:P16)</f>
        <v>282844</v>
      </c>
      <c r="Q14" s="99">
        <f t="shared" ref="Q14:R14" si="2">SUM(Q15:Q16)</f>
        <v>0</v>
      </c>
      <c r="R14" s="33">
        <f t="shared" si="2"/>
        <v>282844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74243</v>
      </c>
      <c r="G15" s="58"/>
      <c r="H15" s="59">
        <f>F15-G15</f>
        <v>74243</v>
      </c>
      <c r="I15" s="60">
        <v>72959</v>
      </c>
      <c r="J15" s="61"/>
      <c r="K15" s="62">
        <f>I15-J15</f>
        <v>72959</v>
      </c>
      <c r="L15" s="63">
        <v>64931</v>
      </c>
      <c r="M15" s="61"/>
      <c r="N15" s="62">
        <f>L15-M15</f>
        <v>64931</v>
      </c>
      <c r="O15" s="37"/>
      <c r="P15" s="64">
        <f t="shared" ref="P15:P16" si="3">F15+I15+L15</f>
        <v>212133</v>
      </c>
      <c r="Q15" s="64">
        <f>G15+J15+M15</f>
        <v>0</v>
      </c>
      <c r="R15" s="64">
        <f>P15-Q15</f>
        <v>212133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24747</v>
      </c>
      <c r="G16" s="58"/>
      <c r="H16" s="59">
        <f>F16-G16</f>
        <v>24747</v>
      </c>
      <c r="I16" s="60">
        <v>24320</v>
      </c>
      <c r="J16" s="61"/>
      <c r="K16" s="62">
        <f>I16-J16</f>
        <v>24320</v>
      </c>
      <c r="L16" s="63">
        <v>21644</v>
      </c>
      <c r="M16" s="61"/>
      <c r="N16" s="62">
        <f>L16-M16</f>
        <v>21644</v>
      </c>
      <c r="O16" s="37"/>
      <c r="P16" s="64">
        <f t="shared" si="3"/>
        <v>70711</v>
      </c>
      <c r="Q16" s="64">
        <f>G16+J16+M16</f>
        <v>0</v>
      </c>
      <c r="R16" s="64">
        <f>P16-Q16</f>
        <v>70711</v>
      </c>
      <c r="U16" s="1" t="s">
        <v>126</v>
      </c>
      <c r="V16" s="153">
        <f>F17+F24+L17+L24</f>
        <v>1670097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401793</v>
      </c>
      <c r="G17" s="66">
        <f>SUM(G18:G23)</f>
        <v>0</v>
      </c>
      <c r="H17" s="67">
        <f t="shared" ref="H17" si="4">SUM(H18:H23)</f>
        <v>401793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102036</v>
      </c>
      <c r="M17" s="66">
        <f>SUM(M18:M23)</f>
        <v>0</v>
      </c>
      <c r="N17" s="67">
        <f t="shared" ref="N17" si="6">SUM(N18:N23)</f>
        <v>102036</v>
      </c>
      <c r="O17" s="48"/>
      <c r="P17" s="101">
        <f>SUM(P18:P23)</f>
        <v>503829</v>
      </c>
      <c r="Q17" s="101">
        <f t="shared" ref="Q17:R17" si="7">SUM(Q18:Q23)</f>
        <v>0</v>
      </c>
      <c r="R17" s="67">
        <f t="shared" si="7"/>
        <v>503829</v>
      </c>
      <c r="U17" s="1" t="s">
        <v>127</v>
      </c>
      <c r="V17" s="153">
        <f>F24+L24</f>
        <v>1166268</v>
      </c>
      <c r="W17" s="1">
        <f>V17/V16</f>
        <v>0.69832351055058484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301345</v>
      </c>
      <c r="G18" s="58"/>
      <c r="H18" s="59">
        <f t="shared" ref="H18:H23" si="8">F18-G18</f>
        <v>301345</v>
      </c>
      <c r="I18" s="60"/>
      <c r="J18" s="61"/>
      <c r="K18" s="62">
        <f t="shared" ref="K18:K23" si="9">I18-J18</f>
        <v>0</v>
      </c>
      <c r="L18" s="63">
        <v>76527</v>
      </c>
      <c r="M18" s="61"/>
      <c r="N18" s="62">
        <f t="shared" ref="N18:N23" si="10">L18-M18</f>
        <v>76527</v>
      </c>
      <c r="O18" s="37"/>
      <c r="P18" s="64">
        <f t="shared" ref="P18:P23" si="11">F18+I18+L18</f>
        <v>377872</v>
      </c>
      <c r="Q18" s="64">
        <f>G18+J18+M18</f>
        <v>0</v>
      </c>
      <c r="R18" s="64">
        <f t="shared" ref="R18:R23" si="12">P18-Q18</f>
        <v>377872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100448</v>
      </c>
      <c r="G19" s="58"/>
      <c r="H19" s="59">
        <f t="shared" si="8"/>
        <v>100448</v>
      </c>
      <c r="I19" s="60"/>
      <c r="J19" s="61"/>
      <c r="K19" s="62">
        <f t="shared" si="9"/>
        <v>0</v>
      </c>
      <c r="L19" s="63">
        <v>25509</v>
      </c>
      <c r="M19" s="61"/>
      <c r="N19" s="62">
        <f t="shared" si="10"/>
        <v>25509</v>
      </c>
      <c r="O19" s="37"/>
      <c r="P19" s="64">
        <f t="shared" si="11"/>
        <v>125957</v>
      </c>
      <c r="Q19" s="64">
        <f>G19+J19+M19</f>
        <v>0</v>
      </c>
      <c r="R19" s="64">
        <f t="shared" si="12"/>
        <v>125957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/>
      <c r="G20" s="58"/>
      <c r="H20" s="59">
        <f t="shared" si="8"/>
        <v>0</v>
      </c>
      <c r="I20" s="60"/>
      <c r="J20" s="61"/>
      <c r="K20" s="62">
        <f t="shared" si="9"/>
        <v>0</v>
      </c>
      <c r="L20" s="63"/>
      <c r="M20" s="61"/>
      <c r="N20" s="62">
        <f t="shared" si="10"/>
        <v>0</v>
      </c>
      <c r="O20" s="37"/>
      <c r="P20" s="64">
        <f t="shared" si="11"/>
        <v>0</v>
      </c>
      <c r="Q20" s="64">
        <f>G20+J20+M20</f>
        <v>0</v>
      </c>
      <c r="R20" s="64">
        <f t="shared" si="12"/>
        <v>0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489124</v>
      </c>
      <c r="G24" s="66">
        <f>SUM(G25:G32)</f>
        <v>0</v>
      </c>
      <c r="H24" s="67">
        <f>SUM(H25:H32)</f>
        <v>489124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677144</v>
      </c>
      <c r="M24" s="66">
        <f t="shared" ref="M24:N24" si="15">SUM(M25:M32)</f>
        <v>0</v>
      </c>
      <c r="N24" s="67">
        <f t="shared" si="15"/>
        <v>677144</v>
      </c>
      <c r="O24" s="48"/>
      <c r="P24" s="101">
        <f>SUM(P25:P32)</f>
        <v>1166268</v>
      </c>
      <c r="Q24" s="101">
        <f t="shared" ref="Q24:R24" si="16">SUM(Q25:Q32)</f>
        <v>0</v>
      </c>
      <c r="R24" s="67">
        <f t="shared" si="16"/>
        <v>1166268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244509</v>
      </c>
      <c r="G25" s="58"/>
      <c r="H25" s="59">
        <f>F25-G25</f>
        <v>244509</v>
      </c>
      <c r="I25" s="60"/>
      <c r="J25" s="61"/>
      <c r="K25" s="62">
        <f>I25-J25</f>
        <v>0</v>
      </c>
      <c r="L25" s="63">
        <v>405960</v>
      </c>
      <c r="M25" s="61"/>
      <c r="N25" s="62">
        <f>L25-M25</f>
        <v>405960</v>
      </c>
      <c r="O25" s="37"/>
      <c r="P25" s="64">
        <f t="shared" ref="P25:Q43" si="17">F25+I25+L25</f>
        <v>650469</v>
      </c>
      <c r="Q25" s="64">
        <f>G25+J25+M25</f>
        <v>0</v>
      </c>
      <c r="R25" s="64">
        <f>P25-Q25</f>
        <v>650469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226115</v>
      </c>
      <c r="G26" s="58"/>
      <c r="H26" s="59">
        <f>F26-G26</f>
        <v>226115</v>
      </c>
      <c r="I26" s="60"/>
      <c r="J26" s="61"/>
      <c r="K26" s="62">
        <f>I26-J26</f>
        <v>0</v>
      </c>
      <c r="L26" s="63">
        <v>246184</v>
      </c>
      <c r="M26" s="61"/>
      <c r="N26" s="62">
        <f>L26-M26</f>
        <v>246184</v>
      </c>
      <c r="O26" s="37"/>
      <c r="P26" s="64">
        <f t="shared" si="17"/>
        <v>472299</v>
      </c>
      <c r="Q26" s="64">
        <f>G26+J26+M26</f>
        <v>0</v>
      </c>
      <c r="R26" s="64">
        <f>P26-Q26</f>
        <v>472299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>
        <v>25000</v>
      </c>
      <c r="M27" s="61"/>
      <c r="N27" s="62">
        <f>L27-M27</f>
        <v>25000</v>
      </c>
      <c r="O27" s="37"/>
      <c r="P27" s="64">
        <f t="shared" si="17"/>
        <v>25000</v>
      </c>
      <c r="Q27" s="64">
        <f t="shared" ref="Q27:Q31" si="18">G27+J27+M27</f>
        <v>0</v>
      </c>
      <c r="R27" s="64">
        <f>P27-Q27</f>
        <v>25000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>
        <v>18500</v>
      </c>
      <c r="G29" s="58"/>
      <c r="H29" s="59">
        <f t="shared" ref="H29:H31" si="20">F29-G29</f>
        <v>18500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18500</v>
      </c>
      <c r="Q29" s="64">
        <f t="shared" si="18"/>
        <v>0</v>
      </c>
      <c r="R29" s="64">
        <f t="shared" ref="R29:R31" si="22">P29-Q29</f>
        <v>18500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875520</v>
      </c>
      <c r="J33" s="66">
        <f>SUM(J34:J43)</f>
        <v>0</v>
      </c>
      <c r="K33" s="67">
        <f>SUM(K34:K43)</f>
        <v>875520</v>
      </c>
      <c r="L33" s="66"/>
      <c r="M33" s="66"/>
      <c r="N33" s="67"/>
      <c r="O33" s="48"/>
      <c r="P33" s="101">
        <f>SUM(P34:P43)</f>
        <v>875520</v>
      </c>
      <c r="Q33" s="101">
        <f>SUM(Q34:Q43)</f>
        <v>0</v>
      </c>
      <c r="R33" s="67">
        <f>SUM(R34:R43)</f>
        <v>875520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300000</v>
      </c>
      <c r="J34" s="58"/>
      <c r="K34" s="59">
        <f t="shared" ref="K34:K43" si="23">I34-J34</f>
        <v>300000</v>
      </c>
      <c r="L34" s="199"/>
      <c r="M34" s="189"/>
      <c r="N34" s="190"/>
      <c r="O34" s="37"/>
      <c r="P34" s="59">
        <f t="shared" si="17"/>
        <v>300000</v>
      </c>
      <c r="Q34" s="59">
        <f t="shared" si="17"/>
        <v>0</v>
      </c>
      <c r="R34" s="59">
        <f t="shared" ref="R34:R43" si="24">P34-Q34</f>
        <v>300000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110000</v>
      </c>
      <c r="J35" s="58"/>
      <c r="K35" s="59">
        <f t="shared" si="23"/>
        <v>110000</v>
      </c>
      <c r="L35" s="200"/>
      <c r="M35" s="192"/>
      <c r="N35" s="193"/>
      <c r="O35" s="37"/>
      <c r="P35" s="59">
        <f t="shared" si="17"/>
        <v>110000</v>
      </c>
      <c r="Q35" s="59">
        <f t="shared" si="17"/>
        <v>0</v>
      </c>
      <c r="R35" s="59">
        <f t="shared" si="24"/>
        <v>110000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140000</v>
      </c>
      <c r="J36" s="58"/>
      <c r="K36" s="59">
        <f t="shared" si="23"/>
        <v>140000</v>
      </c>
      <c r="L36" s="200"/>
      <c r="M36" s="192"/>
      <c r="N36" s="193"/>
      <c r="O36" s="37"/>
      <c r="P36" s="59">
        <f t="shared" si="17"/>
        <v>140000</v>
      </c>
      <c r="Q36" s="59">
        <f t="shared" si="17"/>
        <v>0</v>
      </c>
      <c r="R36" s="59">
        <f t="shared" si="24"/>
        <v>140000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185520</v>
      </c>
      <c r="J37" s="58"/>
      <c r="K37" s="59">
        <f t="shared" si="23"/>
        <v>185520</v>
      </c>
      <c r="L37" s="200"/>
      <c r="M37" s="192"/>
      <c r="N37" s="193"/>
      <c r="O37" s="37"/>
      <c r="P37" s="59">
        <f t="shared" si="17"/>
        <v>185520</v>
      </c>
      <c r="Q37" s="59">
        <f t="shared" si="17"/>
        <v>0</v>
      </c>
      <c r="R37" s="59">
        <f t="shared" si="24"/>
        <v>185520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65000</v>
      </c>
      <c r="J38" s="58"/>
      <c r="K38" s="59">
        <f t="shared" si="23"/>
        <v>65000</v>
      </c>
      <c r="L38" s="200"/>
      <c r="M38" s="192"/>
      <c r="N38" s="193"/>
      <c r="O38" s="37"/>
      <c r="P38" s="59">
        <f t="shared" si="17"/>
        <v>65000</v>
      </c>
      <c r="Q38" s="59">
        <f t="shared" si="17"/>
        <v>0</v>
      </c>
      <c r="R38" s="59">
        <f t="shared" si="24"/>
        <v>65000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15000</v>
      </c>
      <c r="J39" s="58"/>
      <c r="K39" s="59">
        <f t="shared" si="23"/>
        <v>15000</v>
      </c>
      <c r="L39" s="200"/>
      <c r="M39" s="192"/>
      <c r="N39" s="193"/>
      <c r="O39" s="37"/>
      <c r="P39" s="59">
        <f t="shared" si="17"/>
        <v>15000</v>
      </c>
      <c r="Q39" s="59">
        <f t="shared" si="17"/>
        <v>0</v>
      </c>
      <c r="R39" s="59">
        <f t="shared" si="24"/>
        <v>15000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15000</v>
      </c>
      <c r="J40" s="58"/>
      <c r="K40" s="59">
        <f t="shared" si="23"/>
        <v>15000</v>
      </c>
      <c r="L40" s="200"/>
      <c r="M40" s="192"/>
      <c r="N40" s="193"/>
      <c r="O40" s="37"/>
      <c r="P40" s="59">
        <f t="shared" si="17"/>
        <v>15000</v>
      </c>
      <c r="Q40" s="59">
        <f t="shared" si="17"/>
        <v>0</v>
      </c>
      <c r="R40" s="59">
        <f t="shared" si="24"/>
        <v>15000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45000</v>
      </c>
      <c r="J42" s="74"/>
      <c r="K42" s="75">
        <f t="shared" si="23"/>
        <v>45000</v>
      </c>
      <c r="L42" s="200"/>
      <c r="M42" s="192"/>
      <c r="N42" s="193"/>
      <c r="O42" s="37"/>
      <c r="P42" s="59">
        <f t="shared" si="17"/>
        <v>45000</v>
      </c>
      <c r="Q42" s="59">
        <f t="shared" si="17"/>
        <v>0</v>
      </c>
      <c r="R42" s="59">
        <f t="shared" si="24"/>
        <v>45000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989907</v>
      </c>
      <c r="G44" s="106">
        <f t="shared" si="25"/>
        <v>0</v>
      </c>
      <c r="H44" s="106">
        <f t="shared" si="25"/>
        <v>989907</v>
      </c>
      <c r="I44" s="105">
        <f t="shared" si="25"/>
        <v>972799</v>
      </c>
      <c r="J44" s="105">
        <f t="shared" si="25"/>
        <v>0</v>
      </c>
      <c r="K44" s="105">
        <f t="shared" si="25"/>
        <v>972799</v>
      </c>
      <c r="L44" s="105">
        <f t="shared" si="25"/>
        <v>865755</v>
      </c>
      <c r="M44" s="105">
        <f t="shared" si="25"/>
        <v>0</v>
      </c>
      <c r="N44" s="105">
        <f t="shared" si="25"/>
        <v>865755</v>
      </c>
      <c r="O44" s="37"/>
      <c r="P44" s="105">
        <f t="shared" ref="P44:R44" si="26">P14+P17+P24+P33</f>
        <v>2828461</v>
      </c>
      <c r="Q44" s="105">
        <f t="shared" si="26"/>
        <v>0</v>
      </c>
      <c r="R44" s="105">
        <f t="shared" si="26"/>
        <v>2828461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/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/>
      </c>
      <c r="M45" s="37"/>
      <c r="N45" s="37"/>
      <c r="O45" s="37"/>
      <c r="P45" s="37" t="str">
        <f>IF(P44&lt;&gt;P10,"Calculation Error","")</f>
        <v/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85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3"/>
      <c r="H49" s="3"/>
      <c r="I49" s="111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203" t="s">
        <v>107</v>
      </c>
      <c r="B55" s="203"/>
      <c r="C55" s="203"/>
      <c r="D55" s="203"/>
      <c r="E55" s="203"/>
      <c r="F55" s="203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203" t="s">
        <v>117</v>
      </c>
      <c r="B60" s="203"/>
      <c r="C60" s="203"/>
      <c r="D60" s="203"/>
      <c r="E60" s="203"/>
      <c r="F60" s="203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O62"/>
  <sheetViews>
    <sheetView zoomScale="85" zoomScaleNormal="85" workbookViewId="0">
      <selection activeCell="B13" sqref="B13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425781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44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E10" s="21" t="s">
        <v>9</v>
      </c>
      <c r="F10" s="22">
        <f>437449-970.92+F11+624.43</f>
        <v>482102.51</v>
      </c>
      <c r="G10" s="22">
        <f>G44</f>
        <v>0</v>
      </c>
      <c r="H10" s="23">
        <f>F10-G10</f>
        <v>482102.51</v>
      </c>
      <c r="I10" s="22">
        <v>466582</v>
      </c>
      <c r="J10" s="22">
        <f>J44</f>
        <v>0</v>
      </c>
      <c r="K10" s="23">
        <f>I10-J10</f>
        <v>466582</v>
      </c>
      <c r="L10" s="22">
        <f>729738-4212-F11+3428.87</f>
        <v>683954.87</v>
      </c>
      <c r="M10" s="22">
        <f>M44</f>
        <v>0</v>
      </c>
      <c r="N10" s="23">
        <f>L10-M10</f>
        <v>683954.87</v>
      </c>
      <c r="O10" s="24"/>
      <c r="P10" s="22">
        <f>F10+I10+L10</f>
        <v>1632639.38</v>
      </c>
      <c r="Q10" s="22">
        <f>Q41</f>
        <v>0</v>
      </c>
      <c r="R10" s="23">
        <f>P10-Q10</f>
        <v>1632639.38</v>
      </c>
    </row>
    <row r="11" spans="1:41" ht="15.75" thickTop="1" x14ac:dyDescent="0.25">
      <c r="B11" s="134" t="s">
        <v>106</v>
      </c>
      <c r="C11" s="134"/>
      <c r="E11" s="157" t="s">
        <v>133</v>
      </c>
      <c r="F11" s="159">
        <v>45000</v>
      </c>
      <c r="H11" s="6"/>
      <c r="K11" s="6"/>
      <c r="L11" s="159">
        <v>-45000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43744</v>
      </c>
      <c r="G14" s="32">
        <f>SUM(G15:G16)</f>
        <v>0</v>
      </c>
      <c r="H14" s="33">
        <f>SUM(H15:H16)</f>
        <v>43744</v>
      </c>
      <c r="I14" s="32">
        <f>SUM(I15:I16)</f>
        <v>46658</v>
      </c>
      <c r="J14" s="32">
        <f t="shared" ref="J14:K14" si="0">SUM(J15:J16)</f>
        <v>0</v>
      </c>
      <c r="K14" s="33">
        <f t="shared" si="0"/>
        <v>46658</v>
      </c>
      <c r="L14" s="32">
        <f>SUM(L15:L16)</f>
        <v>72973</v>
      </c>
      <c r="M14" s="32">
        <f t="shared" ref="M14:N14" si="1">SUM(M15:M16)</f>
        <v>0</v>
      </c>
      <c r="N14" s="33">
        <f t="shared" si="1"/>
        <v>72973</v>
      </c>
      <c r="O14" s="34"/>
      <c r="P14" s="99">
        <f>SUM(P15:P16)</f>
        <v>163375</v>
      </c>
      <c r="Q14" s="99">
        <f t="shared" ref="Q14:R14" si="2">SUM(Q15:Q16)</f>
        <v>0</v>
      </c>
      <c r="R14" s="33">
        <f t="shared" si="2"/>
        <v>163375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34520</v>
      </c>
      <c r="G15" s="58"/>
      <c r="H15" s="59">
        <f>F15-G15</f>
        <v>34520</v>
      </c>
      <c r="I15" s="60">
        <v>32822</v>
      </c>
      <c r="J15" s="61"/>
      <c r="K15" s="62">
        <f>I15-J15</f>
        <v>32822</v>
      </c>
      <c r="L15" s="63">
        <v>49913</v>
      </c>
      <c r="M15" s="61"/>
      <c r="N15" s="62">
        <f>L15-M15</f>
        <v>49913</v>
      </c>
      <c r="O15" s="37"/>
      <c r="P15" s="64">
        <f t="shared" ref="P15:P16" si="3">F15+I15+L15</f>
        <v>117255</v>
      </c>
      <c r="Q15" s="64">
        <f>G15+J15+M15</f>
        <v>0</v>
      </c>
      <c r="R15" s="64">
        <f>P15-Q15</f>
        <v>117255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9224</v>
      </c>
      <c r="G16" s="58"/>
      <c r="H16" s="59">
        <f>F16-G16</f>
        <v>9224</v>
      </c>
      <c r="I16" s="60">
        <v>13836</v>
      </c>
      <c r="J16" s="61"/>
      <c r="K16" s="62">
        <f>I16-J16</f>
        <v>13836</v>
      </c>
      <c r="L16" s="63">
        <v>23060</v>
      </c>
      <c r="M16" s="61"/>
      <c r="N16" s="62">
        <f>L16-M16</f>
        <v>23060</v>
      </c>
      <c r="O16" s="37"/>
      <c r="P16" s="64">
        <f t="shared" si="3"/>
        <v>46120</v>
      </c>
      <c r="Q16" s="64">
        <f>G16+J16+M16</f>
        <v>0</v>
      </c>
      <c r="R16" s="64">
        <f>P16-Q16</f>
        <v>46120</v>
      </c>
      <c r="U16" s="1" t="s">
        <v>126</v>
      </c>
      <c r="V16" s="153">
        <f>F17+F24+L17+L24</f>
        <v>1050470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232934</v>
      </c>
      <c r="G17" s="66">
        <f>SUM(G18:G23)</f>
        <v>0</v>
      </c>
      <c r="H17" s="67">
        <f t="shared" ref="H17" si="4">SUM(H18:H23)</f>
        <v>232934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433520</v>
      </c>
      <c r="M17" s="66">
        <f>SUM(M18:M23)</f>
        <v>0</v>
      </c>
      <c r="N17" s="67">
        <f t="shared" ref="N17" si="6">SUM(N18:N23)</f>
        <v>433520</v>
      </c>
      <c r="O17" s="48"/>
      <c r="P17" s="101">
        <f>SUM(P18:P23)</f>
        <v>666454</v>
      </c>
      <c r="Q17" s="101">
        <f t="shared" ref="Q17:R17" si="7">SUM(Q18:Q23)</f>
        <v>0</v>
      </c>
      <c r="R17" s="67">
        <f t="shared" si="7"/>
        <v>666454</v>
      </c>
      <c r="U17" s="1" t="s">
        <v>127</v>
      </c>
      <c r="V17" s="153">
        <f>F24+L24</f>
        <v>384016</v>
      </c>
      <c r="W17" s="1">
        <f>V17/V16</f>
        <v>0.36556588955419955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186932</v>
      </c>
      <c r="G18" s="58"/>
      <c r="H18" s="59">
        <f t="shared" ref="H18:H23" si="8">F18-G18</f>
        <v>186932</v>
      </c>
      <c r="I18" s="60"/>
      <c r="J18" s="61"/>
      <c r="K18" s="62">
        <f t="shared" ref="K18:K23" si="9">I18-J18</f>
        <v>0</v>
      </c>
      <c r="L18" s="63">
        <v>338549</v>
      </c>
      <c r="M18" s="61"/>
      <c r="N18" s="62">
        <f t="shared" ref="N18:N23" si="10">L18-M18</f>
        <v>338549</v>
      </c>
      <c r="O18" s="37"/>
      <c r="P18" s="64">
        <f t="shared" ref="P18:P23" si="11">F18+I18+L18</f>
        <v>525481</v>
      </c>
      <c r="Q18" s="64">
        <f>G18+J18+M18</f>
        <v>0</v>
      </c>
      <c r="R18" s="64">
        <f t="shared" ref="R18:R23" si="12">P18-Q18</f>
        <v>525481</v>
      </c>
      <c r="U18" s="1" t="s">
        <v>128</v>
      </c>
      <c r="V18" s="153">
        <f>G24+M24</f>
        <v>0</v>
      </c>
      <c r="W18" s="154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6500</v>
      </c>
      <c r="G19" s="58"/>
      <c r="H19" s="59">
        <f t="shared" si="8"/>
        <v>6500</v>
      </c>
      <c r="I19" s="60"/>
      <c r="J19" s="61"/>
      <c r="K19" s="62">
        <f t="shared" si="9"/>
        <v>0</v>
      </c>
      <c r="L19" s="63">
        <v>18200</v>
      </c>
      <c r="M19" s="61"/>
      <c r="N19" s="62">
        <f t="shared" si="10"/>
        <v>18200</v>
      </c>
      <c r="O19" s="37"/>
      <c r="P19" s="64">
        <f t="shared" si="11"/>
        <v>24700</v>
      </c>
      <c r="Q19" s="64">
        <f>G19+J19+M19</f>
        <v>0</v>
      </c>
      <c r="R19" s="64">
        <f t="shared" si="12"/>
        <v>24700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38502</v>
      </c>
      <c r="G20" s="58"/>
      <c r="H20" s="59">
        <f t="shared" si="8"/>
        <v>38502</v>
      </c>
      <c r="I20" s="60"/>
      <c r="J20" s="61"/>
      <c r="K20" s="62">
        <f t="shared" si="9"/>
        <v>0</v>
      </c>
      <c r="L20" s="63">
        <v>75271</v>
      </c>
      <c r="M20" s="61"/>
      <c r="N20" s="62">
        <f t="shared" si="10"/>
        <v>75271</v>
      </c>
      <c r="O20" s="37"/>
      <c r="P20" s="64">
        <f t="shared" si="11"/>
        <v>113773</v>
      </c>
      <c r="Q20" s="64">
        <f>G20+J20+M20</f>
        <v>0</v>
      </c>
      <c r="R20" s="64">
        <f t="shared" si="12"/>
        <v>113773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>
        <v>500</v>
      </c>
      <c r="G21" s="68"/>
      <c r="H21" s="69">
        <f t="shared" si="8"/>
        <v>500</v>
      </c>
      <c r="I21" s="60"/>
      <c r="J21" s="70"/>
      <c r="K21" s="71">
        <f t="shared" si="9"/>
        <v>0</v>
      </c>
      <c r="L21" s="72">
        <v>500</v>
      </c>
      <c r="M21" s="70"/>
      <c r="N21" s="62">
        <f t="shared" si="10"/>
        <v>500</v>
      </c>
      <c r="O21" s="37"/>
      <c r="P21" s="64">
        <f t="shared" si="11"/>
        <v>1000</v>
      </c>
      <c r="Q21" s="64">
        <f t="shared" ref="Q21:Q22" si="13">G21+J21+M21</f>
        <v>0</v>
      </c>
      <c r="R21" s="64">
        <f t="shared" si="12"/>
        <v>1000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64">
        <f t="shared" si="11"/>
        <v>0</v>
      </c>
      <c r="Q22" s="64">
        <f t="shared" si="13"/>
        <v>0</v>
      </c>
      <c r="R22" s="64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>
        <v>500</v>
      </c>
      <c r="G23" s="74"/>
      <c r="H23" s="75">
        <f t="shared" si="8"/>
        <v>500</v>
      </c>
      <c r="I23" s="76"/>
      <c r="J23" s="77"/>
      <c r="K23" s="78">
        <f t="shared" si="9"/>
        <v>0</v>
      </c>
      <c r="L23" s="79">
        <v>1000</v>
      </c>
      <c r="M23" s="77"/>
      <c r="N23" s="78">
        <f t="shared" si="10"/>
        <v>1000</v>
      </c>
      <c r="O23" s="37"/>
      <c r="P23" s="64">
        <f t="shared" si="11"/>
        <v>1500</v>
      </c>
      <c r="Q23" s="64">
        <f>G23+J23+M23</f>
        <v>0</v>
      </c>
      <c r="R23" s="64">
        <f t="shared" si="12"/>
        <v>1500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160771</v>
      </c>
      <c r="G24" s="66">
        <f>SUM(G25:G32)</f>
        <v>0</v>
      </c>
      <c r="H24" s="67">
        <f>SUM(H25:H32)</f>
        <v>160771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223245</v>
      </c>
      <c r="M24" s="66">
        <f t="shared" ref="M24:N24" si="15">SUM(M25:M32)</f>
        <v>0</v>
      </c>
      <c r="N24" s="67">
        <f t="shared" si="15"/>
        <v>223245</v>
      </c>
      <c r="O24" s="48"/>
      <c r="P24" s="101">
        <f>SUM(P25:P32)</f>
        <v>384016</v>
      </c>
      <c r="Q24" s="101">
        <f t="shared" ref="Q24:R24" si="16">SUM(Q25:Q32)</f>
        <v>0</v>
      </c>
      <c r="R24" s="67">
        <f t="shared" si="16"/>
        <v>384016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94200</v>
      </c>
      <c r="G25" s="58"/>
      <c r="H25" s="59">
        <f>F25-G25</f>
        <v>94200</v>
      </c>
      <c r="I25" s="60"/>
      <c r="J25" s="61"/>
      <c r="K25" s="62">
        <f>I25-J25</f>
        <v>0</v>
      </c>
      <c r="L25" s="63">
        <v>150745</v>
      </c>
      <c r="M25" s="61"/>
      <c r="N25" s="62">
        <f>L25-M25</f>
        <v>150745</v>
      </c>
      <c r="O25" s="37"/>
      <c r="P25" s="64">
        <f t="shared" ref="P25:Q43" si="17">F25+I25+L25</f>
        <v>244945</v>
      </c>
      <c r="Q25" s="64">
        <f>G25+J25+M25</f>
        <v>0</v>
      </c>
      <c r="R25" s="64">
        <f>P25-Q25</f>
        <v>244945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47071</v>
      </c>
      <c r="G26" s="58"/>
      <c r="H26" s="59">
        <f>F26-G26</f>
        <v>47071</v>
      </c>
      <c r="I26" s="60"/>
      <c r="J26" s="61"/>
      <c r="K26" s="62">
        <f>I26-J26</f>
        <v>0</v>
      </c>
      <c r="L26" s="63">
        <v>70500</v>
      </c>
      <c r="M26" s="61"/>
      <c r="N26" s="62">
        <f>L26-M26</f>
        <v>70500</v>
      </c>
      <c r="O26" s="37"/>
      <c r="P26" s="64">
        <f t="shared" si="17"/>
        <v>117571</v>
      </c>
      <c r="Q26" s="64">
        <f>G26+J26+M26</f>
        <v>0</v>
      </c>
      <c r="R26" s="64">
        <f>P26-Q26</f>
        <v>117571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>
        <v>1500</v>
      </c>
      <c r="G28" s="58"/>
      <c r="H28" s="59">
        <f>F28-G28</f>
        <v>1500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1500</v>
      </c>
      <c r="Q28" s="64">
        <f t="shared" si="18"/>
        <v>0</v>
      </c>
      <c r="R28" s="64">
        <f>P28-Q28</f>
        <v>1500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>
        <v>2000</v>
      </c>
      <c r="G29" s="58"/>
      <c r="H29" s="59">
        <f t="shared" ref="H29:H31" si="20">F29-G29</f>
        <v>2000</v>
      </c>
      <c r="I29" s="60"/>
      <c r="J29" s="61"/>
      <c r="K29" s="62">
        <f t="shared" ref="K29:K31" si="21">I29-J29</f>
        <v>0</v>
      </c>
      <c r="L29" s="63">
        <v>2000</v>
      </c>
      <c r="M29" s="61"/>
      <c r="N29" s="62">
        <f t="shared" si="19"/>
        <v>2000</v>
      </c>
      <c r="O29" s="37"/>
      <c r="P29" s="64">
        <f t="shared" si="17"/>
        <v>4000</v>
      </c>
      <c r="Q29" s="64">
        <f t="shared" si="18"/>
        <v>0</v>
      </c>
      <c r="R29" s="64">
        <f t="shared" ref="R29:R31" si="22">P29-Q29</f>
        <v>4000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>
        <v>16000</v>
      </c>
      <c r="G30" s="58"/>
      <c r="H30" s="59">
        <f t="shared" si="20"/>
        <v>16000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16000</v>
      </c>
      <c r="Q30" s="64">
        <f t="shared" si="18"/>
        <v>0</v>
      </c>
      <c r="R30" s="64">
        <f t="shared" si="22"/>
        <v>16000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419924</v>
      </c>
      <c r="J33" s="66">
        <f>SUM(J34:J43)</f>
        <v>0</v>
      </c>
      <c r="K33" s="67">
        <f>SUM(K34:K43)</f>
        <v>419924</v>
      </c>
      <c r="L33" s="66"/>
      <c r="M33" s="66"/>
      <c r="N33" s="67"/>
      <c r="O33" s="48"/>
      <c r="P33" s="101">
        <f>SUM(P34:P43)</f>
        <v>419924</v>
      </c>
      <c r="Q33" s="101">
        <f>SUM(Q34:Q43)</f>
        <v>0</v>
      </c>
      <c r="R33" s="67">
        <f>SUM(R34:R43)</f>
        <v>419924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59391</v>
      </c>
      <c r="J34" s="58"/>
      <c r="K34" s="59">
        <f t="shared" ref="K34:K43" si="23">I34-J34</f>
        <v>59391</v>
      </c>
      <c r="L34" s="199"/>
      <c r="M34" s="189"/>
      <c r="N34" s="190"/>
      <c r="O34" s="37"/>
      <c r="P34" s="59">
        <f t="shared" si="17"/>
        <v>59391</v>
      </c>
      <c r="Q34" s="59">
        <f t="shared" si="17"/>
        <v>0</v>
      </c>
      <c r="R34" s="59">
        <f t="shared" ref="R34:R43" si="24">P34-Q34</f>
        <v>59391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62806</v>
      </c>
      <c r="J35" s="58"/>
      <c r="K35" s="59">
        <f t="shared" si="23"/>
        <v>62806</v>
      </c>
      <c r="L35" s="200"/>
      <c r="M35" s="192"/>
      <c r="N35" s="193"/>
      <c r="O35" s="37"/>
      <c r="P35" s="59">
        <f t="shared" si="17"/>
        <v>62806</v>
      </c>
      <c r="Q35" s="59">
        <f t="shared" si="17"/>
        <v>0</v>
      </c>
      <c r="R35" s="59">
        <f t="shared" si="24"/>
        <v>62806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72589</v>
      </c>
      <c r="J36" s="58"/>
      <c r="K36" s="59">
        <f t="shared" si="23"/>
        <v>72589</v>
      </c>
      <c r="L36" s="200"/>
      <c r="M36" s="192"/>
      <c r="N36" s="193"/>
      <c r="O36" s="37"/>
      <c r="P36" s="59">
        <f t="shared" si="17"/>
        <v>72589</v>
      </c>
      <c r="Q36" s="59">
        <f t="shared" si="17"/>
        <v>0</v>
      </c>
      <c r="R36" s="59">
        <f t="shared" si="24"/>
        <v>72589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189271</v>
      </c>
      <c r="J37" s="58"/>
      <c r="K37" s="59">
        <f t="shared" si="23"/>
        <v>189271</v>
      </c>
      <c r="L37" s="200"/>
      <c r="M37" s="192"/>
      <c r="N37" s="193"/>
      <c r="O37" s="37"/>
      <c r="P37" s="59">
        <f t="shared" si="17"/>
        <v>189271</v>
      </c>
      <c r="Q37" s="59">
        <f t="shared" si="17"/>
        <v>0</v>
      </c>
      <c r="R37" s="59">
        <f t="shared" si="24"/>
        <v>189271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/>
      <c r="J38" s="58"/>
      <c r="K38" s="59">
        <f t="shared" si="23"/>
        <v>0</v>
      </c>
      <c r="L38" s="200"/>
      <c r="M38" s="192"/>
      <c r="N38" s="193"/>
      <c r="O38" s="37"/>
      <c r="P38" s="59">
        <f t="shared" si="17"/>
        <v>0</v>
      </c>
      <c r="Q38" s="59">
        <f t="shared" si="17"/>
        <v>0</v>
      </c>
      <c r="R38" s="59">
        <f t="shared" si="24"/>
        <v>0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20000</v>
      </c>
      <c r="J39" s="58"/>
      <c r="K39" s="59">
        <f t="shared" si="23"/>
        <v>20000</v>
      </c>
      <c r="L39" s="200"/>
      <c r="M39" s="192"/>
      <c r="N39" s="193"/>
      <c r="O39" s="37"/>
      <c r="P39" s="59">
        <f t="shared" si="17"/>
        <v>20000</v>
      </c>
      <c r="Q39" s="59">
        <f t="shared" si="17"/>
        <v>0</v>
      </c>
      <c r="R39" s="59">
        <f t="shared" si="24"/>
        <v>20000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2872</v>
      </c>
      <c r="J40" s="58"/>
      <c r="K40" s="59">
        <f t="shared" si="23"/>
        <v>2872</v>
      </c>
      <c r="L40" s="200"/>
      <c r="M40" s="192"/>
      <c r="N40" s="193"/>
      <c r="O40" s="37"/>
      <c r="P40" s="59">
        <f t="shared" si="17"/>
        <v>2872</v>
      </c>
      <c r="Q40" s="59">
        <f t="shared" si="17"/>
        <v>0</v>
      </c>
      <c r="R40" s="59">
        <f t="shared" si="24"/>
        <v>2872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>
        <v>12995</v>
      </c>
      <c r="J41" s="58"/>
      <c r="K41" s="59">
        <f t="shared" si="23"/>
        <v>12995</v>
      </c>
      <c r="L41" s="200"/>
      <c r="M41" s="192"/>
      <c r="N41" s="193"/>
      <c r="O41" s="37"/>
      <c r="P41" s="59">
        <f t="shared" si="17"/>
        <v>12995</v>
      </c>
      <c r="Q41" s="59">
        <f t="shared" si="17"/>
        <v>0</v>
      </c>
      <c r="R41" s="59">
        <f t="shared" si="24"/>
        <v>12995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/>
      <c r="J42" s="74"/>
      <c r="K42" s="75">
        <f t="shared" si="23"/>
        <v>0</v>
      </c>
      <c r="L42" s="200"/>
      <c r="M42" s="192"/>
      <c r="N42" s="193"/>
      <c r="O42" s="37"/>
      <c r="P42" s="59">
        <f t="shared" si="17"/>
        <v>0</v>
      </c>
      <c r="Q42" s="59">
        <f t="shared" si="17"/>
        <v>0</v>
      </c>
      <c r="R42" s="59">
        <f t="shared" si="24"/>
        <v>0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/>
      <c r="J43" s="94"/>
      <c r="K43" s="95">
        <f t="shared" si="23"/>
        <v>0</v>
      </c>
      <c r="L43" s="201"/>
      <c r="M43" s="195"/>
      <c r="N43" s="196"/>
      <c r="O43" s="37"/>
      <c r="P43" s="95">
        <f t="shared" si="17"/>
        <v>0</v>
      </c>
      <c r="Q43" s="95">
        <f t="shared" si="17"/>
        <v>0</v>
      </c>
      <c r="R43" s="95">
        <f t="shared" si="24"/>
        <v>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437449</v>
      </c>
      <c r="G44" s="106">
        <f t="shared" si="25"/>
        <v>0</v>
      </c>
      <c r="H44" s="106">
        <f t="shared" si="25"/>
        <v>437449</v>
      </c>
      <c r="I44" s="105">
        <f t="shared" si="25"/>
        <v>466582</v>
      </c>
      <c r="J44" s="105">
        <f t="shared" si="25"/>
        <v>0</v>
      </c>
      <c r="K44" s="105">
        <f t="shared" si="25"/>
        <v>466582</v>
      </c>
      <c r="L44" s="105">
        <f t="shared" si="25"/>
        <v>729738</v>
      </c>
      <c r="M44" s="105">
        <f t="shared" si="25"/>
        <v>0</v>
      </c>
      <c r="N44" s="105">
        <f t="shared" si="25"/>
        <v>729738</v>
      </c>
      <c r="O44" s="37"/>
      <c r="P44" s="105">
        <f t="shared" ref="P44:R44" si="26">P14+P17+P24+P33</f>
        <v>1633769</v>
      </c>
      <c r="Q44" s="105">
        <f t="shared" si="26"/>
        <v>0</v>
      </c>
      <c r="R44" s="105">
        <f t="shared" si="26"/>
        <v>1633769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162" t="s">
        <v>147</v>
      </c>
      <c r="H47" s="163"/>
      <c r="I47" s="163"/>
      <c r="J47" s="163"/>
      <c r="K47" s="164"/>
      <c r="L47" s="163"/>
      <c r="M47" s="163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3"/>
      <c r="G48" s="164" t="s">
        <v>144</v>
      </c>
      <c r="H48" s="164"/>
      <c r="I48" s="165"/>
      <c r="J48" s="165"/>
      <c r="K48" s="165"/>
      <c r="L48" s="165"/>
      <c r="M48" s="165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3"/>
      <c r="G49" s="164" t="s">
        <v>145</v>
      </c>
      <c r="H49" s="164"/>
      <c r="I49" s="166"/>
      <c r="J49" s="165"/>
      <c r="K49" s="165"/>
      <c r="L49" s="165"/>
      <c r="M49" s="165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167" t="s">
        <v>146</v>
      </c>
      <c r="H50" s="167"/>
      <c r="I50" s="167"/>
      <c r="J50" s="167"/>
      <c r="K50" s="164"/>
      <c r="L50" s="164"/>
      <c r="M50" s="164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ht="15" customHeight="1" x14ac:dyDescent="0.25">
      <c r="A55" s="207" t="s">
        <v>108</v>
      </c>
      <c r="B55" s="207"/>
      <c r="C55" s="207"/>
      <c r="D55" s="207"/>
      <c r="E55" s="207"/>
      <c r="F55" s="207"/>
    </row>
    <row r="56" spans="1:15" x14ac:dyDescent="0.25">
      <c r="A56" s="207"/>
      <c r="B56" s="207"/>
      <c r="C56" s="207"/>
      <c r="D56" s="207"/>
      <c r="E56" s="207"/>
      <c r="F56" s="207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203" t="s">
        <v>109</v>
      </c>
      <c r="B60" s="203"/>
      <c r="C60" s="203"/>
      <c r="D60" s="203"/>
      <c r="E60" s="203"/>
      <c r="F60" s="203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4">
    <mergeCell ref="A60:F60"/>
    <mergeCell ref="A61:F61"/>
    <mergeCell ref="A62:F62"/>
    <mergeCell ref="L34:N43"/>
    <mergeCell ref="A53:F53"/>
    <mergeCell ref="A58:F58"/>
    <mergeCell ref="A54:F54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  <mergeCell ref="A55:F56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O62"/>
  <sheetViews>
    <sheetView zoomScale="85" zoomScaleNormal="85" workbookViewId="0">
      <selection activeCell="B12" sqref="B12"/>
    </sheetView>
  </sheetViews>
  <sheetFormatPr defaultRowHeight="15" x14ac:dyDescent="0.25"/>
  <cols>
    <col min="1" max="1" width="4.42578125" style="1" bestFit="1" customWidth="1"/>
    <col min="2" max="2" width="9.140625" style="3"/>
    <col min="3" max="3" width="18.140625" style="3" customWidth="1"/>
    <col min="4" max="4" width="14.7109375" style="3" customWidth="1"/>
    <col min="5" max="5" width="24.140625" style="1" customWidth="1"/>
    <col min="6" max="6" width="19.28515625" style="1" bestFit="1" customWidth="1"/>
    <col min="7" max="8" width="19.28515625" style="1" customWidth="1"/>
    <col min="9" max="9" width="20.42578125" style="1" customWidth="1"/>
    <col min="10" max="11" width="18.140625" style="1" customWidth="1"/>
    <col min="12" max="12" width="24.5703125" style="1" bestFit="1" customWidth="1"/>
    <col min="13" max="14" width="24.5703125" style="1" customWidth="1"/>
    <col min="15" max="15" width="3" style="4" customWidth="1"/>
    <col min="16" max="16" width="20.85546875" style="1" bestFit="1" customWidth="1"/>
    <col min="17" max="18" width="20.85546875" style="1" customWidth="1"/>
    <col min="19" max="21" width="9.140625" style="1"/>
    <col min="22" max="22" width="11.28515625" style="1" bestFit="1" customWidth="1"/>
    <col min="23" max="16384" width="9.140625" style="1"/>
  </cols>
  <sheetData>
    <row r="1" spans="1:41" ht="21" x14ac:dyDescent="0.35">
      <c r="B1" s="2" t="s">
        <v>45</v>
      </c>
    </row>
    <row r="2" spans="1:41" ht="14.45" customHeight="1" x14ac:dyDescent="0.25">
      <c r="B2" s="1" t="s">
        <v>89</v>
      </c>
    </row>
    <row r="3" spans="1:41" ht="14.45" customHeight="1" x14ac:dyDescent="0.25">
      <c r="B3" s="3" t="s">
        <v>90</v>
      </c>
      <c r="C3" s="5"/>
      <c r="D3" s="4"/>
    </row>
    <row r="4" spans="1:41" ht="14.45" customHeight="1" x14ac:dyDescent="0.25">
      <c r="B4" s="1" t="s">
        <v>91</v>
      </c>
      <c r="C4" s="1"/>
      <c r="D4" s="1"/>
    </row>
    <row r="5" spans="1:41" ht="14.45" customHeight="1" x14ac:dyDescent="0.25">
      <c r="B5" s="1"/>
      <c r="C5" s="1"/>
      <c r="D5" s="1"/>
      <c r="H5" s="6"/>
      <c r="K5" s="6"/>
      <c r="N5" s="6"/>
      <c r="R5" s="6"/>
    </row>
    <row r="6" spans="1:41" ht="14.45" customHeight="1" thickBot="1" x14ac:dyDescent="0.3">
      <c r="B6" s="7" t="s">
        <v>169</v>
      </c>
      <c r="C6" s="7"/>
      <c r="D6" s="7"/>
      <c r="F6" s="8"/>
      <c r="G6" s="8"/>
      <c r="H6" s="9"/>
      <c r="I6" s="8"/>
      <c r="J6" s="8"/>
      <c r="K6" s="9"/>
      <c r="L6" s="8"/>
      <c r="M6" s="8"/>
      <c r="N6" s="9"/>
      <c r="P6" s="10" t="s">
        <v>2</v>
      </c>
      <c r="Q6" s="10"/>
      <c r="R6" s="11"/>
    </row>
    <row r="7" spans="1:41" ht="14.45" customHeight="1" x14ac:dyDescent="0.25">
      <c r="B7" s="137" t="s">
        <v>132</v>
      </c>
      <c r="C7" s="137"/>
      <c r="D7" s="137"/>
      <c r="F7" s="12" t="s">
        <v>88</v>
      </c>
      <c r="G7" s="12" t="s">
        <v>33</v>
      </c>
      <c r="H7" s="13"/>
      <c r="I7" s="12" t="str">
        <f>F7</f>
        <v>PY 2016 TITLE I</v>
      </c>
      <c r="J7" s="12" t="s">
        <v>34</v>
      </c>
      <c r="K7" s="13"/>
      <c r="L7" s="12" t="str">
        <f>F7</f>
        <v>PY 2016 TITLE I</v>
      </c>
      <c r="M7" s="12" t="s">
        <v>35</v>
      </c>
      <c r="N7" s="13"/>
      <c r="O7" s="12"/>
      <c r="P7" s="10" t="s">
        <v>3</v>
      </c>
      <c r="Q7" s="12" t="s">
        <v>36</v>
      </c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4.45" customHeight="1" x14ac:dyDescent="0.25">
      <c r="B8" s="137" t="s">
        <v>121</v>
      </c>
      <c r="C8" s="137"/>
      <c r="D8" s="137"/>
      <c r="F8" s="12" t="s">
        <v>102</v>
      </c>
      <c r="G8" s="12" t="s">
        <v>32</v>
      </c>
      <c r="H8" s="13" t="s">
        <v>37</v>
      </c>
      <c r="I8" s="12" t="s">
        <v>103</v>
      </c>
      <c r="J8" s="12" t="s">
        <v>32</v>
      </c>
      <c r="K8" s="13" t="str">
        <f>H8</f>
        <v>OVER(UNDER)</v>
      </c>
      <c r="L8" s="15" t="s">
        <v>104</v>
      </c>
      <c r="M8" s="12" t="s">
        <v>32</v>
      </c>
      <c r="N8" s="13" t="str">
        <f>K8</f>
        <v>OVER(UNDER)</v>
      </c>
      <c r="O8" s="15"/>
      <c r="P8" s="10" t="s">
        <v>4</v>
      </c>
      <c r="Q8" s="12" t="s">
        <v>32</v>
      </c>
      <c r="R8" s="13" t="str">
        <f>N8</f>
        <v>OVER(UNDER)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4.45" customHeight="1" x14ac:dyDescent="0.25">
      <c r="B9" s="137" t="s">
        <v>122</v>
      </c>
      <c r="C9" s="137"/>
      <c r="D9" s="137"/>
      <c r="E9" s="14" t="s">
        <v>5</v>
      </c>
      <c r="F9" s="17" t="s">
        <v>6</v>
      </c>
      <c r="G9" s="17"/>
      <c r="H9" s="18"/>
      <c r="I9" s="17" t="s">
        <v>7</v>
      </c>
      <c r="J9" s="17"/>
      <c r="K9" s="18"/>
      <c r="L9" s="17" t="s">
        <v>6</v>
      </c>
      <c r="M9" s="17"/>
      <c r="N9" s="18"/>
      <c r="O9" s="15"/>
      <c r="P9" s="19" t="s">
        <v>8</v>
      </c>
      <c r="Q9" s="19"/>
      <c r="R9" s="2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15.75" thickBot="1" x14ac:dyDescent="0.3">
      <c r="B10" s="80"/>
      <c r="C10" s="80"/>
      <c r="E10" s="21" t="s">
        <v>9</v>
      </c>
      <c r="F10" s="22">
        <f>592606-7145.82+F11+4400.81</f>
        <v>739860.99000000011</v>
      </c>
      <c r="G10" s="22">
        <f>G44</f>
        <v>0</v>
      </c>
      <c r="H10" s="23">
        <f>F10-G10</f>
        <v>739860.99000000011</v>
      </c>
      <c r="I10" s="22">
        <v>679739</v>
      </c>
      <c r="J10" s="22">
        <f>J44</f>
        <v>0</v>
      </c>
      <c r="K10" s="23">
        <f>I10-J10</f>
        <v>679739</v>
      </c>
      <c r="L10" s="22">
        <f>708349-6840-F11+5553.68</f>
        <v>557062.68000000005</v>
      </c>
      <c r="M10" s="22">
        <f>M44</f>
        <v>0</v>
      </c>
      <c r="N10" s="23">
        <f>L10-M10</f>
        <v>557062.68000000005</v>
      </c>
      <c r="O10" s="24"/>
      <c r="P10" s="22">
        <f>F10+I10+L10</f>
        <v>1976662.6700000004</v>
      </c>
      <c r="Q10" s="22">
        <f>Q41</f>
        <v>0</v>
      </c>
      <c r="R10" s="23">
        <f>P10-Q10</f>
        <v>1976662.6700000004</v>
      </c>
    </row>
    <row r="11" spans="1:41" ht="15.75" thickTop="1" x14ac:dyDescent="0.25">
      <c r="E11" s="157" t="s">
        <v>133</v>
      </c>
      <c r="F11" s="159">
        <v>150000</v>
      </c>
      <c r="H11" s="6"/>
      <c r="K11" s="6"/>
      <c r="L11" s="159">
        <v>-150000</v>
      </c>
      <c r="N11" s="6"/>
      <c r="R11" s="6"/>
    </row>
    <row r="12" spans="1:41" x14ac:dyDescent="0.25">
      <c r="F12" s="26" t="s">
        <v>0</v>
      </c>
      <c r="G12" s="26"/>
      <c r="H12" s="27"/>
      <c r="I12" s="26" t="s">
        <v>1</v>
      </c>
      <c r="J12" s="26"/>
      <c r="K12" s="27"/>
      <c r="L12" s="26" t="s">
        <v>10</v>
      </c>
      <c r="M12" s="26"/>
      <c r="N12" s="27"/>
      <c r="O12" s="28"/>
      <c r="P12" s="26" t="s">
        <v>11</v>
      </c>
      <c r="Q12" s="26"/>
      <c r="R12" s="27"/>
    </row>
    <row r="13" spans="1:41" ht="15.75" thickBot="1" x14ac:dyDescent="0.3">
      <c r="B13" s="1"/>
      <c r="C13" s="1"/>
      <c r="D13" s="1"/>
      <c r="F13" s="26"/>
      <c r="G13" s="26"/>
      <c r="H13" s="27"/>
      <c r="I13" s="26"/>
      <c r="J13" s="26"/>
      <c r="K13" s="27"/>
      <c r="L13" s="26"/>
      <c r="M13" s="26"/>
      <c r="N13" s="27"/>
      <c r="O13" s="28"/>
      <c r="P13" s="26"/>
      <c r="Q13" s="26"/>
      <c r="R13" s="27"/>
    </row>
    <row r="14" spans="1:41" x14ac:dyDescent="0.25">
      <c r="A14" s="29" t="s">
        <v>12</v>
      </c>
      <c r="B14" s="30" t="s">
        <v>13</v>
      </c>
      <c r="C14" s="31"/>
      <c r="D14" s="31"/>
      <c r="E14" s="31"/>
      <c r="F14" s="32">
        <f>SUM(F15:F16)</f>
        <v>59260</v>
      </c>
      <c r="G14" s="32">
        <f>SUM(G15:G16)</f>
        <v>0</v>
      </c>
      <c r="H14" s="33">
        <f>SUM(H15:H16)</f>
        <v>59260</v>
      </c>
      <c r="I14" s="32">
        <f>SUM(I15:I16)</f>
        <v>67973</v>
      </c>
      <c r="J14" s="32">
        <f t="shared" ref="J14:K14" si="0">SUM(J15:J16)</f>
        <v>0</v>
      </c>
      <c r="K14" s="33">
        <f t="shared" si="0"/>
        <v>67973</v>
      </c>
      <c r="L14" s="32">
        <f>SUM(L15:L16)</f>
        <v>70150</v>
      </c>
      <c r="M14" s="32">
        <f t="shared" ref="M14:N14" si="1">SUM(M15:M16)</f>
        <v>0</v>
      </c>
      <c r="N14" s="33">
        <f t="shared" si="1"/>
        <v>70150</v>
      </c>
      <c r="O14" s="34"/>
      <c r="P14" s="99">
        <f>SUM(P15:P16)</f>
        <v>197383</v>
      </c>
      <c r="Q14" s="99">
        <f t="shared" ref="Q14:R14" si="2">SUM(Q15:Q16)</f>
        <v>0</v>
      </c>
      <c r="R14" s="33">
        <f t="shared" si="2"/>
        <v>197383</v>
      </c>
    </row>
    <row r="15" spans="1:41" x14ac:dyDescent="0.25">
      <c r="A15" s="29" t="s">
        <v>14</v>
      </c>
      <c r="B15" s="1"/>
      <c r="C15" s="177" t="s">
        <v>15</v>
      </c>
      <c r="D15" s="178"/>
      <c r="E15" s="178"/>
      <c r="F15" s="58">
        <v>17778</v>
      </c>
      <c r="G15" s="58"/>
      <c r="H15" s="59">
        <f>F15-G15</f>
        <v>17778</v>
      </c>
      <c r="I15" s="60">
        <v>20392</v>
      </c>
      <c r="J15" s="61"/>
      <c r="K15" s="62">
        <f>I15-J15</f>
        <v>20392</v>
      </c>
      <c r="L15" s="63">
        <v>21250</v>
      </c>
      <c r="M15" s="61"/>
      <c r="N15" s="62">
        <f>L15-M15</f>
        <v>21250</v>
      </c>
      <c r="O15" s="37"/>
      <c r="P15" s="64">
        <f t="shared" ref="P15:P16" si="3">F15+I15+L15</f>
        <v>59420</v>
      </c>
      <c r="Q15" s="64">
        <f>G15+J15+M15</f>
        <v>0</v>
      </c>
      <c r="R15" s="64">
        <f>P15-Q15</f>
        <v>59420</v>
      </c>
      <c r="U15" s="1" t="s">
        <v>131</v>
      </c>
      <c r="V15" s="1" t="s">
        <v>124</v>
      </c>
    </row>
    <row r="16" spans="1:41" ht="15.75" thickBot="1" x14ac:dyDescent="0.3">
      <c r="A16" s="29" t="s">
        <v>14</v>
      </c>
      <c r="B16" s="1"/>
      <c r="C16" s="50" t="s">
        <v>16</v>
      </c>
      <c r="D16" s="51"/>
      <c r="E16" s="51"/>
      <c r="F16" s="58">
        <v>41482</v>
      </c>
      <c r="G16" s="58"/>
      <c r="H16" s="59">
        <f>F16-G16</f>
        <v>41482</v>
      </c>
      <c r="I16" s="60">
        <v>47581</v>
      </c>
      <c r="J16" s="61"/>
      <c r="K16" s="62">
        <f>I16-J16</f>
        <v>47581</v>
      </c>
      <c r="L16" s="63">
        <v>48900</v>
      </c>
      <c r="M16" s="61"/>
      <c r="N16" s="62">
        <f>L16-M16</f>
        <v>48900</v>
      </c>
      <c r="O16" s="37"/>
      <c r="P16" s="64">
        <f t="shared" si="3"/>
        <v>137963</v>
      </c>
      <c r="Q16" s="64">
        <f>G16+J16+M16</f>
        <v>0</v>
      </c>
      <c r="R16" s="64">
        <f>P16-Q16</f>
        <v>137963</v>
      </c>
      <c r="U16" s="1" t="s">
        <v>126</v>
      </c>
      <c r="V16" s="153">
        <f>F17+F24+L17+L24</f>
        <v>1164705</v>
      </c>
    </row>
    <row r="17" spans="1:23" x14ac:dyDescent="0.25">
      <c r="A17" s="29"/>
      <c r="B17" s="65" t="s">
        <v>92</v>
      </c>
      <c r="C17" s="31"/>
      <c r="D17" s="31"/>
      <c r="E17" s="31"/>
      <c r="F17" s="66">
        <f>SUM(F18:F23)</f>
        <v>403346</v>
      </c>
      <c r="G17" s="66">
        <f>SUM(G18:G23)</f>
        <v>0</v>
      </c>
      <c r="H17" s="67">
        <f t="shared" ref="H17" si="4">SUM(H18:H23)</f>
        <v>403346</v>
      </c>
      <c r="I17" s="66">
        <f>SUM(I18:I23)</f>
        <v>0</v>
      </c>
      <c r="J17" s="66">
        <f t="shared" ref="J17:K17" si="5">SUM(J18:J23)</f>
        <v>0</v>
      </c>
      <c r="K17" s="67">
        <f t="shared" si="5"/>
        <v>0</v>
      </c>
      <c r="L17" s="66">
        <f>SUM(L18:L23)</f>
        <v>487515</v>
      </c>
      <c r="M17" s="66">
        <f>SUM(M18:M23)</f>
        <v>0</v>
      </c>
      <c r="N17" s="67">
        <f t="shared" ref="N17" si="6">SUM(N18:N23)</f>
        <v>487515</v>
      </c>
      <c r="O17" s="48"/>
      <c r="P17" s="101">
        <f>SUM(P18:P23)</f>
        <v>890861</v>
      </c>
      <c r="Q17" s="101">
        <f t="shared" ref="Q17:R17" si="7">SUM(Q18:Q23)</f>
        <v>0</v>
      </c>
      <c r="R17" s="67">
        <f t="shared" si="7"/>
        <v>890861</v>
      </c>
      <c r="U17" s="1" t="s">
        <v>127</v>
      </c>
      <c r="V17" s="153">
        <f>F24+L24</f>
        <v>273844</v>
      </c>
      <c r="W17" s="1">
        <f>V17/V16</f>
        <v>0.23511876397886161</v>
      </c>
    </row>
    <row r="18" spans="1:23" x14ac:dyDescent="0.25">
      <c r="A18" s="29" t="s">
        <v>17</v>
      </c>
      <c r="B18" s="4"/>
      <c r="C18" s="177" t="s">
        <v>18</v>
      </c>
      <c r="D18" s="178"/>
      <c r="E18" s="178"/>
      <c r="F18" s="58">
        <v>331167</v>
      </c>
      <c r="G18" s="58"/>
      <c r="H18" s="59">
        <f t="shared" ref="H18:H23" si="8">F18-G18</f>
        <v>331167</v>
      </c>
      <c r="I18" s="60"/>
      <c r="J18" s="61"/>
      <c r="K18" s="62">
        <f t="shared" ref="K18:K23" si="9">I18-J18</f>
        <v>0</v>
      </c>
      <c r="L18" s="63">
        <v>389030</v>
      </c>
      <c r="M18" s="61"/>
      <c r="N18" s="62">
        <f t="shared" ref="N18:N23" si="10">L18-M18</f>
        <v>389030</v>
      </c>
      <c r="O18" s="37"/>
      <c r="P18" s="64">
        <f t="shared" ref="P18:P23" si="11">F18+I18+L18</f>
        <v>720197</v>
      </c>
      <c r="Q18" s="64">
        <f>G18+J18+M18</f>
        <v>0</v>
      </c>
      <c r="R18" s="64">
        <f t="shared" ref="R18:R23" si="12">P18-Q18</f>
        <v>720197</v>
      </c>
      <c r="U18" s="1" t="s">
        <v>128</v>
      </c>
      <c r="V18" s="153">
        <f>G24+M24</f>
        <v>0</v>
      </c>
      <c r="W18" s="1">
        <f>V18/V16</f>
        <v>0</v>
      </c>
    </row>
    <row r="19" spans="1:23" x14ac:dyDescent="0.25">
      <c r="A19" s="29" t="s">
        <v>17</v>
      </c>
      <c r="B19" s="4"/>
      <c r="C19" s="177" t="s">
        <v>16</v>
      </c>
      <c r="D19" s="178"/>
      <c r="E19" s="178"/>
      <c r="F19" s="58">
        <v>37628</v>
      </c>
      <c r="G19" s="58"/>
      <c r="H19" s="59">
        <f t="shared" si="8"/>
        <v>37628</v>
      </c>
      <c r="I19" s="60"/>
      <c r="J19" s="61"/>
      <c r="K19" s="62">
        <f t="shared" si="9"/>
        <v>0</v>
      </c>
      <c r="L19" s="63">
        <v>53705</v>
      </c>
      <c r="M19" s="61"/>
      <c r="N19" s="62">
        <f t="shared" si="10"/>
        <v>53705</v>
      </c>
      <c r="O19" s="37"/>
      <c r="P19" s="64">
        <f t="shared" si="11"/>
        <v>91333</v>
      </c>
      <c r="Q19" s="64">
        <f>G19+J19+M19</f>
        <v>0</v>
      </c>
      <c r="R19" s="64">
        <f t="shared" si="12"/>
        <v>91333</v>
      </c>
    </row>
    <row r="20" spans="1:23" x14ac:dyDescent="0.25">
      <c r="A20" s="29" t="s">
        <v>17</v>
      </c>
      <c r="B20" s="4"/>
      <c r="C20" s="177" t="s">
        <v>19</v>
      </c>
      <c r="D20" s="178"/>
      <c r="E20" s="178"/>
      <c r="F20" s="58">
        <v>34551</v>
      </c>
      <c r="G20" s="58"/>
      <c r="H20" s="59">
        <f t="shared" si="8"/>
        <v>34551</v>
      </c>
      <c r="I20" s="60"/>
      <c r="J20" s="61"/>
      <c r="K20" s="62">
        <f t="shared" si="9"/>
        <v>0</v>
      </c>
      <c r="L20" s="63">
        <v>44780</v>
      </c>
      <c r="M20" s="61"/>
      <c r="N20" s="62">
        <f t="shared" si="10"/>
        <v>44780</v>
      </c>
      <c r="O20" s="37"/>
      <c r="P20" s="64">
        <f t="shared" si="11"/>
        <v>79331</v>
      </c>
      <c r="Q20" s="64">
        <f>G20+J20+M20</f>
        <v>0</v>
      </c>
      <c r="R20" s="64">
        <f t="shared" si="12"/>
        <v>79331</v>
      </c>
    </row>
    <row r="21" spans="1:23" x14ac:dyDescent="0.25">
      <c r="A21" s="127" t="s">
        <v>17</v>
      </c>
      <c r="B21" s="4"/>
      <c r="C21" s="125" t="s">
        <v>93</v>
      </c>
      <c r="D21" s="126"/>
      <c r="E21" s="126"/>
      <c r="F21" s="68"/>
      <c r="G21" s="68"/>
      <c r="H21" s="69">
        <f t="shared" si="8"/>
        <v>0</v>
      </c>
      <c r="I21" s="60"/>
      <c r="J21" s="70"/>
      <c r="K21" s="71">
        <f t="shared" si="9"/>
        <v>0</v>
      </c>
      <c r="L21" s="72"/>
      <c r="M21" s="70"/>
      <c r="N21" s="62">
        <f t="shared" si="10"/>
        <v>0</v>
      </c>
      <c r="O21" s="37"/>
      <c r="P21" s="64">
        <f t="shared" si="11"/>
        <v>0</v>
      </c>
      <c r="Q21" s="64">
        <f t="shared" ref="Q21:Q22" si="13">G21+J21+M21</f>
        <v>0</v>
      </c>
      <c r="R21" s="64">
        <f t="shared" si="12"/>
        <v>0</v>
      </c>
    </row>
    <row r="22" spans="1:23" x14ac:dyDescent="0.25">
      <c r="A22" s="29" t="s">
        <v>17</v>
      </c>
      <c r="B22" s="1"/>
      <c r="C22" s="177" t="s">
        <v>24</v>
      </c>
      <c r="D22" s="178"/>
      <c r="E22" s="178"/>
      <c r="F22" s="68"/>
      <c r="G22" s="68"/>
      <c r="H22" s="69">
        <f t="shared" si="8"/>
        <v>0</v>
      </c>
      <c r="I22" s="60"/>
      <c r="J22" s="70"/>
      <c r="K22" s="71">
        <f t="shared" si="9"/>
        <v>0</v>
      </c>
      <c r="L22" s="72"/>
      <c r="M22" s="70"/>
      <c r="N22" s="71">
        <f t="shared" si="10"/>
        <v>0</v>
      </c>
      <c r="O22" s="37"/>
      <c r="P22" s="73">
        <f t="shared" si="11"/>
        <v>0</v>
      </c>
      <c r="Q22" s="64">
        <f t="shared" si="13"/>
        <v>0</v>
      </c>
      <c r="R22" s="73">
        <f t="shared" si="12"/>
        <v>0</v>
      </c>
    </row>
    <row r="23" spans="1:23" ht="15.75" thickBot="1" x14ac:dyDescent="0.3">
      <c r="A23" s="29" t="s">
        <v>17</v>
      </c>
      <c r="B23" s="1"/>
      <c r="C23" s="197" t="s">
        <v>25</v>
      </c>
      <c r="D23" s="198"/>
      <c r="E23" s="198"/>
      <c r="F23" s="74"/>
      <c r="G23" s="74"/>
      <c r="H23" s="75">
        <f t="shared" si="8"/>
        <v>0</v>
      </c>
      <c r="I23" s="76"/>
      <c r="J23" s="77"/>
      <c r="K23" s="78">
        <f t="shared" si="9"/>
        <v>0</v>
      </c>
      <c r="L23" s="79"/>
      <c r="M23" s="77"/>
      <c r="N23" s="78">
        <f t="shared" si="10"/>
        <v>0</v>
      </c>
      <c r="O23" s="37"/>
      <c r="P23" s="64">
        <f t="shared" si="11"/>
        <v>0</v>
      </c>
      <c r="Q23" s="64">
        <f>G23+J23+M23</f>
        <v>0</v>
      </c>
      <c r="R23" s="64">
        <f t="shared" si="12"/>
        <v>0</v>
      </c>
    </row>
    <row r="24" spans="1:23" x14ac:dyDescent="0.25">
      <c r="A24" s="29"/>
      <c r="B24" s="65" t="s">
        <v>99</v>
      </c>
      <c r="C24" s="65"/>
      <c r="D24" s="65"/>
      <c r="E24" s="65"/>
      <c r="F24" s="66">
        <f>SUM(F25:F32)</f>
        <v>130000</v>
      </c>
      <c r="G24" s="66">
        <f>SUM(G25:G32)</f>
        <v>0</v>
      </c>
      <c r="H24" s="67">
        <f>SUM(H25:H32)</f>
        <v>130000</v>
      </c>
      <c r="I24" s="66">
        <f>SUM(I25:I32)</f>
        <v>0</v>
      </c>
      <c r="J24" s="66">
        <f t="shared" ref="J24:K24" si="14">SUM(J25:J32)</f>
        <v>0</v>
      </c>
      <c r="K24" s="67">
        <f t="shared" si="14"/>
        <v>0</v>
      </c>
      <c r="L24" s="66">
        <f>SUM(L25:L32)</f>
        <v>143844</v>
      </c>
      <c r="M24" s="66">
        <f t="shared" ref="M24:N24" si="15">SUM(M25:M32)</f>
        <v>0</v>
      </c>
      <c r="N24" s="67">
        <f t="shared" si="15"/>
        <v>143844</v>
      </c>
      <c r="O24" s="48"/>
      <c r="P24" s="101">
        <f>SUM(P25:P32)</f>
        <v>273844</v>
      </c>
      <c r="Q24" s="101">
        <f t="shared" ref="Q24:R24" si="16">SUM(Q25:Q32)</f>
        <v>0</v>
      </c>
      <c r="R24" s="67">
        <f t="shared" si="16"/>
        <v>273844</v>
      </c>
    </row>
    <row r="25" spans="1:23" x14ac:dyDescent="0.25">
      <c r="A25" s="29" t="s">
        <v>17</v>
      </c>
      <c r="B25" s="1"/>
      <c r="C25" s="177" t="s">
        <v>20</v>
      </c>
      <c r="D25" s="178"/>
      <c r="E25" s="178"/>
      <c r="F25" s="58">
        <v>78000</v>
      </c>
      <c r="G25" s="58"/>
      <c r="H25" s="59">
        <f>F25-G25</f>
        <v>78000</v>
      </c>
      <c r="I25" s="60"/>
      <c r="J25" s="61"/>
      <c r="K25" s="62">
        <f>I25-J25</f>
        <v>0</v>
      </c>
      <c r="L25" s="63">
        <v>90000</v>
      </c>
      <c r="M25" s="61"/>
      <c r="N25" s="62">
        <f>L25-M25</f>
        <v>90000</v>
      </c>
      <c r="O25" s="37"/>
      <c r="P25" s="64">
        <f t="shared" ref="P25:Q43" si="17">F25+I25+L25</f>
        <v>168000</v>
      </c>
      <c r="Q25" s="64">
        <f>G25+J25+M25</f>
        <v>0</v>
      </c>
      <c r="R25" s="64">
        <f>P25-Q25</f>
        <v>168000</v>
      </c>
    </row>
    <row r="26" spans="1:23" x14ac:dyDescent="0.25">
      <c r="A26" s="29" t="s">
        <v>17</v>
      </c>
      <c r="B26" s="1"/>
      <c r="C26" s="177" t="s">
        <v>21</v>
      </c>
      <c r="D26" s="178"/>
      <c r="E26" s="178"/>
      <c r="F26" s="58">
        <v>52000</v>
      </c>
      <c r="G26" s="58"/>
      <c r="H26" s="59">
        <f>F26-G26</f>
        <v>52000</v>
      </c>
      <c r="I26" s="60"/>
      <c r="J26" s="61"/>
      <c r="K26" s="62">
        <f>I26-J26</f>
        <v>0</v>
      </c>
      <c r="L26" s="63">
        <v>53844</v>
      </c>
      <c r="M26" s="61"/>
      <c r="N26" s="62">
        <f>L26-M26</f>
        <v>53844</v>
      </c>
      <c r="O26" s="37"/>
      <c r="P26" s="64">
        <f t="shared" si="17"/>
        <v>105844</v>
      </c>
      <c r="Q26" s="64">
        <f>G26+J26+M26</f>
        <v>0</v>
      </c>
      <c r="R26" s="64">
        <f>P26-Q26</f>
        <v>105844</v>
      </c>
    </row>
    <row r="27" spans="1:23" x14ac:dyDescent="0.25">
      <c r="A27" s="29" t="s">
        <v>17</v>
      </c>
      <c r="B27" s="1"/>
      <c r="C27" s="50" t="s">
        <v>22</v>
      </c>
      <c r="D27" s="51"/>
      <c r="E27" s="51"/>
      <c r="F27" s="58"/>
      <c r="G27" s="58"/>
      <c r="H27" s="59">
        <f>F27-G27</f>
        <v>0</v>
      </c>
      <c r="I27" s="60"/>
      <c r="J27" s="61"/>
      <c r="K27" s="62">
        <f>I27-J27</f>
        <v>0</v>
      </c>
      <c r="L27" s="63"/>
      <c r="M27" s="61"/>
      <c r="N27" s="62">
        <f>L27-M27</f>
        <v>0</v>
      </c>
      <c r="O27" s="37"/>
      <c r="P27" s="64">
        <f t="shared" si="17"/>
        <v>0</v>
      </c>
      <c r="Q27" s="64">
        <f t="shared" ref="Q27:Q31" si="18">G27+J27+M27</f>
        <v>0</v>
      </c>
      <c r="R27" s="64">
        <f>P27-Q27</f>
        <v>0</v>
      </c>
    </row>
    <row r="28" spans="1:23" x14ac:dyDescent="0.25">
      <c r="A28" s="29" t="s">
        <v>17</v>
      </c>
      <c r="B28" s="1"/>
      <c r="C28" s="50" t="s">
        <v>23</v>
      </c>
      <c r="D28" s="51"/>
      <c r="E28" s="51"/>
      <c r="F28" s="58"/>
      <c r="G28" s="58"/>
      <c r="H28" s="59">
        <f>F28-G28</f>
        <v>0</v>
      </c>
      <c r="I28" s="60"/>
      <c r="J28" s="61"/>
      <c r="K28" s="62">
        <f>I28-J28</f>
        <v>0</v>
      </c>
      <c r="L28" s="63"/>
      <c r="M28" s="61"/>
      <c r="N28" s="62">
        <f t="shared" ref="N28:N31" si="19">L28-M28</f>
        <v>0</v>
      </c>
      <c r="O28" s="37"/>
      <c r="P28" s="64">
        <f t="shared" si="17"/>
        <v>0</v>
      </c>
      <c r="Q28" s="64">
        <f t="shared" si="18"/>
        <v>0</v>
      </c>
      <c r="R28" s="64">
        <f>P28-Q28</f>
        <v>0</v>
      </c>
    </row>
    <row r="29" spans="1:23" x14ac:dyDescent="0.25">
      <c r="A29" s="127" t="s">
        <v>17</v>
      </c>
      <c r="B29" s="1"/>
      <c r="C29" s="125" t="s">
        <v>98</v>
      </c>
      <c r="D29" s="126"/>
      <c r="E29" s="126"/>
      <c r="F29" s="58"/>
      <c r="G29" s="58"/>
      <c r="H29" s="59">
        <f t="shared" ref="H29:H31" si="20">F29-G29</f>
        <v>0</v>
      </c>
      <c r="I29" s="60"/>
      <c r="J29" s="61"/>
      <c r="K29" s="62">
        <f t="shared" ref="K29:K31" si="21">I29-J29</f>
        <v>0</v>
      </c>
      <c r="L29" s="63"/>
      <c r="M29" s="61"/>
      <c r="N29" s="62">
        <f t="shared" si="19"/>
        <v>0</v>
      </c>
      <c r="O29" s="37"/>
      <c r="P29" s="64">
        <f t="shared" si="17"/>
        <v>0</v>
      </c>
      <c r="Q29" s="64">
        <f t="shared" si="18"/>
        <v>0</v>
      </c>
      <c r="R29" s="64">
        <f t="shared" ref="R29:R31" si="22">P29-Q29</f>
        <v>0</v>
      </c>
    </row>
    <row r="30" spans="1:23" x14ac:dyDescent="0.25">
      <c r="A30" s="127" t="s">
        <v>17</v>
      </c>
      <c r="B30" s="1"/>
      <c r="C30" s="125" t="s">
        <v>97</v>
      </c>
      <c r="D30" s="126"/>
      <c r="E30" s="126"/>
      <c r="F30" s="58"/>
      <c r="G30" s="58"/>
      <c r="H30" s="59">
        <f t="shared" si="20"/>
        <v>0</v>
      </c>
      <c r="I30" s="60"/>
      <c r="J30" s="61"/>
      <c r="K30" s="62">
        <f>I30-J30</f>
        <v>0</v>
      </c>
      <c r="L30" s="63"/>
      <c r="M30" s="61"/>
      <c r="N30" s="62">
        <f t="shared" si="19"/>
        <v>0</v>
      </c>
      <c r="O30" s="37"/>
      <c r="P30" s="64">
        <f t="shared" si="17"/>
        <v>0</v>
      </c>
      <c r="Q30" s="64">
        <f t="shared" si="18"/>
        <v>0</v>
      </c>
      <c r="R30" s="64">
        <f t="shared" si="22"/>
        <v>0</v>
      </c>
    </row>
    <row r="31" spans="1:23" x14ac:dyDescent="0.25">
      <c r="A31" s="127" t="s">
        <v>17</v>
      </c>
      <c r="B31" s="1"/>
      <c r="C31" s="125" t="s">
        <v>96</v>
      </c>
      <c r="D31" s="126"/>
      <c r="E31" s="126"/>
      <c r="F31" s="58"/>
      <c r="G31" s="58"/>
      <c r="H31" s="59">
        <f t="shared" si="20"/>
        <v>0</v>
      </c>
      <c r="I31" s="60"/>
      <c r="J31" s="61"/>
      <c r="K31" s="62">
        <f t="shared" si="21"/>
        <v>0</v>
      </c>
      <c r="L31" s="63"/>
      <c r="M31" s="61"/>
      <c r="N31" s="62">
        <f t="shared" si="19"/>
        <v>0</v>
      </c>
      <c r="O31" s="37"/>
      <c r="P31" s="64">
        <f t="shared" si="17"/>
        <v>0</v>
      </c>
      <c r="Q31" s="64">
        <f t="shared" si="18"/>
        <v>0</v>
      </c>
      <c r="R31" s="64">
        <f t="shared" si="22"/>
        <v>0</v>
      </c>
    </row>
    <row r="32" spans="1:23" ht="15.75" thickBot="1" x14ac:dyDescent="0.3">
      <c r="A32" s="29" t="s">
        <v>17</v>
      </c>
      <c r="B32" s="1"/>
      <c r="C32" s="50" t="s">
        <v>100</v>
      </c>
      <c r="D32" s="51"/>
      <c r="E32" s="51"/>
      <c r="F32" s="58"/>
      <c r="G32" s="58"/>
      <c r="H32" s="59">
        <f>F32-G32</f>
        <v>0</v>
      </c>
      <c r="I32" s="60"/>
      <c r="J32" s="61"/>
      <c r="K32" s="62">
        <f>I32-J32</f>
        <v>0</v>
      </c>
      <c r="L32" s="63"/>
      <c r="M32" s="61"/>
      <c r="N32" s="62">
        <f>L32-M32</f>
        <v>0</v>
      </c>
      <c r="O32" s="37"/>
      <c r="P32" s="64">
        <f t="shared" si="17"/>
        <v>0</v>
      </c>
      <c r="Q32" s="64">
        <f>G32+J32+M32</f>
        <v>0</v>
      </c>
      <c r="R32" s="64">
        <f>P32-Q32</f>
        <v>0</v>
      </c>
    </row>
    <row r="33" spans="1:18" x14ac:dyDescent="0.25">
      <c r="A33" s="29"/>
      <c r="B33" s="65" t="s">
        <v>26</v>
      </c>
      <c r="C33" s="65"/>
      <c r="D33" s="65"/>
      <c r="E33" s="65"/>
      <c r="F33" s="66"/>
      <c r="G33" s="66"/>
      <c r="H33" s="67"/>
      <c r="I33" s="66">
        <f>SUM(I34:I43)</f>
        <v>611766</v>
      </c>
      <c r="J33" s="66">
        <f>SUM(J34:J43)</f>
        <v>0</v>
      </c>
      <c r="K33" s="67">
        <f>SUM(K34:K43)</f>
        <v>611766</v>
      </c>
      <c r="L33" s="66"/>
      <c r="M33" s="66"/>
      <c r="N33" s="67"/>
      <c r="O33" s="48"/>
      <c r="P33" s="101">
        <f>SUM(P34:P43)</f>
        <v>611766</v>
      </c>
      <c r="Q33" s="101">
        <f>SUM(Q34:Q43)</f>
        <v>0</v>
      </c>
      <c r="R33" s="67">
        <f>SUM(R34:R43)</f>
        <v>611766</v>
      </c>
    </row>
    <row r="34" spans="1:18" x14ac:dyDescent="0.25">
      <c r="A34" s="29" t="s">
        <v>17</v>
      </c>
      <c r="C34" s="186" t="s">
        <v>67</v>
      </c>
      <c r="D34" s="187"/>
      <c r="E34" s="187"/>
      <c r="F34" s="188"/>
      <c r="G34" s="189"/>
      <c r="H34" s="190"/>
      <c r="I34" s="58">
        <v>78367</v>
      </c>
      <c r="J34" s="58"/>
      <c r="K34" s="59">
        <f t="shared" ref="K34:K43" si="23">I34-J34</f>
        <v>78367</v>
      </c>
      <c r="L34" s="199"/>
      <c r="M34" s="189"/>
      <c r="N34" s="190"/>
      <c r="O34" s="37"/>
      <c r="P34" s="59">
        <f t="shared" si="17"/>
        <v>78367</v>
      </c>
      <c r="Q34" s="59">
        <f t="shared" si="17"/>
        <v>0</v>
      </c>
      <c r="R34" s="59">
        <f t="shared" ref="R34:R43" si="24">P34-Q34</f>
        <v>78367</v>
      </c>
    </row>
    <row r="35" spans="1:18" x14ac:dyDescent="0.25">
      <c r="A35" s="29" t="s">
        <v>17</v>
      </c>
      <c r="C35" s="186" t="s">
        <v>64</v>
      </c>
      <c r="D35" s="187"/>
      <c r="E35" s="187"/>
      <c r="F35" s="191"/>
      <c r="G35" s="192"/>
      <c r="H35" s="193"/>
      <c r="I35" s="58">
        <v>18720</v>
      </c>
      <c r="J35" s="58"/>
      <c r="K35" s="59">
        <f t="shared" si="23"/>
        <v>18720</v>
      </c>
      <c r="L35" s="200"/>
      <c r="M35" s="192"/>
      <c r="N35" s="193"/>
      <c r="O35" s="37"/>
      <c r="P35" s="59">
        <f t="shared" si="17"/>
        <v>18720</v>
      </c>
      <c r="Q35" s="59">
        <f t="shared" si="17"/>
        <v>0</v>
      </c>
      <c r="R35" s="59">
        <f t="shared" si="24"/>
        <v>18720</v>
      </c>
    </row>
    <row r="36" spans="1:18" x14ac:dyDescent="0.25">
      <c r="A36" s="29" t="s">
        <v>17</v>
      </c>
      <c r="C36" s="50" t="s">
        <v>65</v>
      </c>
      <c r="D36" s="51"/>
      <c r="E36" s="51"/>
      <c r="F36" s="191"/>
      <c r="G36" s="192"/>
      <c r="H36" s="193"/>
      <c r="I36" s="58">
        <v>8613</v>
      </c>
      <c r="J36" s="58"/>
      <c r="K36" s="59">
        <f t="shared" si="23"/>
        <v>8613</v>
      </c>
      <c r="L36" s="200"/>
      <c r="M36" s="192"/>
      <c r="N36" s="193"/>
      <c r="O36" s="37"/>
      <c r="P36" s="59">
        <f t="shared" si="17"/>
        <v>8613</v>
      </c>
      <c r="Q36" s="59">
        <f t="shared" si="17"/>
        <v>0</v>
      </c>
      <c r="R36" s="59">
        <f t="shared" si="24"/>
        <v>8613</v>
      </c>
    </row>
    <row r="37" spans="1:18" x14ac:dyDescent="0.25">
      <c r="A37" s="29" t="s">
        <v>17</v>
      </c>
      <c r="B37" s="96"/>
      <c r="C37" s="50" t="s">
        <v>71</v>
      </c>
      <c r="D37" s="51"/>
      <c r="E37" s="51"/>
      <c r="F37" s="191"/>
      <c r="G37" s="192"/>
      <c r="H37" s="193"/>
      <c r="I37" s="58">
        <v>442375</v>
      </c>
      <c r="J37" s="58"/>
      <c r="K37" s="59">
        <f t="shared" si="23"/>
        <v>442375</v>
      </c>
      <c r="L37" s="200"/>
      <c r="M37" s="192"/>
      <c r="N37" s="193"/>
      <c r="O37" s="37"/>
      <c r="P37" s="59">
        <f t="shared" si="17"/>
        <v>442375</v>
      </c>
      <c r="Q37" s="59">
        <f t="shared" si="17"/>
        <v>0</v>
      </c>
      <c r="R37" s="59">
        <f t="shared" si="24"/>
        <v>442375</v>
      </c>
    </row>
    <row r="38" spans="1:18" x14ac:dyDescent="0.25">
      <c r="A38" s="127" t="s">
        <v>17</v>
      </c>
      <c r="B38" s="4"/>
      <c r="C38" s="125" t="s">
        <v>95</v>
      </c>
      <c r="D38" s="126"/>
      <c r="E38" s="126"/>
      <c r="F38" s="191"/>
      <c r="G38" s="192"/>
      <c r="H38" s="193"/>
      <c r="I38" s="58">
        <v>7412</v>
      </c>
      <c r="J38" s="58"/>
      <c r="K38" s="59">
        <f t="shared" si="23"/>
        <v>7412</v>
      </c>
      <c r="L38" s="200"/>
      <c r="M38" s="192"/>
      <c r="N38" s="193"/>
      <c r="O38" s="37"/>
      <c r="P38" s="59">
        <f t="shared" si="17"/>
        <v>7412</v>
      </c>
      <c r="Q38" s="59">
        <f t="shared" si="17"/>
        <v>0</v>
      </c>
      <c r="R38" s="59">
        <f t="shared" si="24"/>
        <v>7412</v>
      </c>
    </row>
    <row r="39" spans="1:18" x14ac:dyDescent="0.25">
      <c r="A39" s="29" t="s">
        <v>17</v>
      </c>
      <c r="C39" s="186" t="s">
        <v>68</v>
      </c>
      <c r="D39" s="187"/>
      <c r="E39" s="187"/>
      <c r="F39" s="191"/>
      <c r="G39" s="192"/>
      <c r="H39" s="193"/>
      <c r="I39" s="58">
        <v>6625</v>
      </c>
      <c r="J39" s="58"/>
      <c r="K39" s="59">
        <f t="shared" si="23"/>
        <v>6625</v>
      </c>
      <c r="L39" s="200"/>
      <c r="M39" s="192"/>
      <c r="N39" s="193"/>
      <c r="O39" s="37"/>
      <c r="P39" s="59">
        <f t="shared" si="17"/>
        <v>6625</v>
      </c>
      <c r="Q39" s="59">
        <f t="shared" si="17"/>
        <v>0</v>
      </c>
      <c r="R39" s="59">
        <f t="shared" si="24"/>
        <v>6625</v>
      </c>
    </row>
    <row r="40" spans="1:18" x14ac:dyDescent="0.25">
      <c r="A40" s="29" t="s">
        <v>17</v>
      </c>
      <c r="C40" s="186" t="s">
        <v>66</v>
      </c>
      <c r="D40" s="187"/>
      <c r="E40" s="187"/>
      <c r="F40" s="191"/>
      <c r="G40" s="192"/>
      <c r="H40" s="193"/>
      <c r="I40" s="58">
        <v>20877</v>
      </c>
      <c r="J40" s="58"/>
      <c r="K40" s="59">
        <f t="shared" si="23"/>
        <v>20877</v>
      </c>
      <c r="L40" s="200"/>
      <c r="M40" s="192"/>
      <c r="N40" s="193"/>
      <c r="O40" s="37"/>
      <c r="P40" s="59">
        <f t="shared" si="17"/>
        <v>20877</v>
      </c>
      <c r="Q40" s="59">
        <f t="shared" si="17"/>
        <v>0</v>
      </c>
      <c r="R40" s="59">
        <f t="shared" si="24"/>
        <v>20877</v>
      </c>
    </row>
    <row r="41" spans="1:18" x14ac:dyDescent="0.25">
      <c r="A41" s="29" t="s">
        <v>17</v>
      </c>
      <c r="C41" s="50" t="s">
        <v>70</v>
      </c>
      <c r="D41" s="51"/>
      <c r="E41" s="51"/>
      <c r="F41" s="191"/>
      <c r="G41" s="192"/>
      <c r="H41" s="193"/>
      <c r="I41" s="58"/>
      <c r="J41" s="58"/>
      <c r="K41" s="59">
        <f t="shared" si="23"/>
        <v>0</v>
      </c>
      <c r="L41" s="200"/>
      <c r="M41" s="192"/>
      <c r="N41" s="193"/>
      <c r="O41" s="37"/>
      <c r="P41" s="59">
        <f t="shared" si="17"/>
        <v>0</v>
      </c>
      <c r="Q41" s="59">
        <f t="shared" si="17"/>
        <v>0</v>
      </c>
      <c r="R41" s="59">
        <f t="shared" si="24"/>
        <v>0</v>
      </c>
    </row>
    <row r="42" spans="1:18" x14ac:dyDescent="0.25">
      <c r="A42" s="127" t="s">
        <v>17</v>
      </c>
      <c r="C42" s="128" t="s">
        <v>72</v>
      </c>
      <c r="D42" s="129"/>
      <c r="E42" s="129"/>
      <c r="F42" s="191"/>
      <c r="G42" s="192"/>
      <c r="H42" s="193"/>
      <c r="I42" s="74">
        <v>28277</v>
      </c>
      <c r="J42" s="74"/>
      <c r="K42" s="75">
        <f t="shared" si="23"/>
        <v>28277</v>
      </c>
      <c r="L42" s="200"/>
      <c r="M42" s="192"/>
      <c r="N42" s="193"/>
      <c r="O42" s="37"/>
      <c r="P42" s="59">
        <f t="shared" si="17"/>
        <v>28277</v>
      </c>
      <c r="Q42" s="59">
        <f t="shared" si="17"/>
        <v>0</v>
      </c>
      <c r="R42" s="59">
        <f t="shared" si="24"/>
        <v>28277</v>
      </c>
    </row>
    <row r="43" spans="1:18" ht="15.75" thickBot="1" x14ac:dyDescent="0.3">
      <c r="A43" s="29" t="s">
        <v>17</v>
      </c>
      <c r="B43" s="93"/>
      <c r="C43" s="39" t="s">
        <v>94</v>
      </c>
      <c r="D43" s="40"/>
      <c r="E43" s="40"/>
      <c r="F43" s="194"/>
      <c r="G43" s="195"/>
      <c r="H43" s="196"/>
      <c r="I43" s="94">
        <v>500</v>
      </c>
      <c r="J43" s="94"/>
      <c r="K43" s="95">
        <f t="shared" si="23"/>
        <v>500</v>
      </c>
      <c r="L43" s="201"/>
      <c r="M43" s="195"/>
      <c r="N43" s="196"/>
      <c r="O43" s="37"/>
      <c r="P43" s="95">
        <f t="shared" si="17"/>
        <v>500</v>
      </c>
      <c r="Q43" s="95">
        <f t="shared" si="17"/>
        <v>0</v>
      </c>
      <c r="R43" s="95">
        <f t="shared" si="24"/>
        <v>500</v>
      </c>
    </row>
    <row r="44" spans="1:18" ht="15.75" thickBot="1" x14ac:dyDescent="0.3">
      <c r="A44" s="29"/>
      <c r="B44" s="103" t="s">
        <v>29</v>
      </c>
      <c r="C44" s="104"/>
      <c r="D44" s="104"/>
      <c r="E44" s="104"/>
      <c r="F44" s="106">
        <f t="shared" ref="F44:N44" si="25">F14+F17+F24+F33</f>
        <v>592606</v>
      </c>
      <c r="G44" s="106">
        <f t="shared" si="25"/>
        <v>0</v>
      </c>
      <c r="H44" s="106">
        <f t="shared" si="25"/>
        <v>592606</v>
      </c>
      <c r="I44" s="105">
        <f t="shared" si="25"/>
        <v>679739</v>
      </c>
      <c r="J44" s="105">
        <f t="shared" si="25"/>
        <v>0</v>
      </c>
      <c r="K44" s="105">
        <f t="shared" si="25"/>
        <v>679739</v>
      </c>
      <c r="L44" s="105">
        <f t="shared" si="25"/>
        <v>701509</v>
      </c>
      <c r="M44" s="105">
        <f t="shared" si="25"/>
        <v>0</v>
      </c>
      <c r="N44" s="105">
        <f t="shared" si="25"/>
        <v>701509</v>
      </c>
      <c r="O44" s="37"/>
      <c r="P44" s="105">
        <f t="shared" ref="P44:R44" si="26">P14+P17+P24+P33</f>
        <v>1973854</v>
      </c>
      <c r="Q44" s="105">
        <f t="shared" si="26"/>
        <v>0</v>
      </c>
      <c r="R44" s="105">
        <f t="shared" si="26"/>
        <v>1973854</v>
      </c>
    </row>
    <row r="45" spans="1:18" ht="15.75" thickTop="1" x14ac:dyDescent="0.25">
      <c r="A45" s="29"/>
      <c r="B45" s="14"/>
      <c r="C45" s="89"/>
      <c r="D45" s="89"/>
      <c r="E45" s="89"/>
      <c r="F45" s="91" t="str">
        <f>IF(F44&lt;&gt;F10,"Calculation Error","")</f>
        <v>Calculation Error</v>
      </c>
      <c r="G45" s="91"/>
      <c r="H45" s="91"/>
      <c r="I45" s="37" t="str">
        <f>IF(I44&lt;&gt;I10,"Calculation Error","")</f>
        <v/>
      </c>
      <c r="J45" s="37"/>
      <c r="K45" s="37"/>
      <c r="L45" s="37" t="str">
        <f>IF(L44&lt;&gt;L10,"Calculation Error","")</f>
        <v>Calculation Error</v>
      </c>
      <c r="M45" s="37"/>
      <c r="N45" s="37"/>
      <c r="O45" s="37"/>
      <c r="P45" s="37" t="str">
        <f>IF(P44&lt;&gt;P10,"Calculation Error","")</f>
        <v>Calculation Error</v>
      </c>
      <c r="Q45" s="37"/>
      <c r="R45" s="37"/>
    </row>
    <row r="46" spans="1:18" x14ac:dyDescent="0.25">
      <c r="A46" s="29"/>
      <c r="B46" s="14"/>
      <c r="C46" s="89"/>
      <c r="D46" s="89"/>
      <c r="E46" s="89"/>
      <c r="F46" s="91"/>
      <c r="G46" s="91"/>
      <c r="H46" s="91"/>
      <c r="I46" s="37" t="str">
        <f>IF(I34+I35+I39+I40&lt;((I10-I14)*20%),"WBT ERROR","")</f>
        <v/>
      </c>
      <c r="J46" s="37"/>
      <c r="K46" s="37"/>
      <c r="L46" s="37"/>
      <c r="M46" s="37"/>
      <c r="N46" s="37"/>
      <c r="O46" s="37"/>
      <c r="P46" s="37"/>
      <c r="Q46" s="37"/>
      <c r="R46" s="37"/>
    </row>
    <row r="47" spans="1:18" x14ac:dyDescent="0.25">
      <c r="A47" s="185" t="s">
        <v>75</v>
      </c>
      <c r="B47" s="185"/>
      <c r="C47" s="185"/>
      <c r="D47" s="185"/>
      <c r="E47" s="185"/>
      <c r="F47" s="185"/>
      <c r="G47" s="91"/>
      <c r="H47" s="91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5">
      <c r="A48" s="52" t="s">
        <v>17</v>
      </c>
      <c r="B48" s="53" t="s">
        <v>30</v>
      </c>
      <c r="C48" s="53"/>
      <c r="D48" s="1"/>
      <c r="F48" s="80"/>
      <c r="G48" s="80"/>
      <c r="H48" s="80"/>
      <c r="I48" s="85"/>
      <c r="J48" s="54"/>
      <c r="K48" s="54"/>
      <c r="L48" s="29"/>
      <c r="M48" s="29"/>
      <c r="N48" s="29"/>
      <c r="O48" s="55"/>
    </row>
    <row r="49" spans="1:15" x14ac:dyDescent="0.25">
      <c r="A49" s="52" t="s">
        <v>27</v>
      </c>
      <c r="B49" s="53" t="s">
        <v>74</v>
      </c>
      <c r="C49" s="57"/>
      <c r="D49" s="1"/>
      <c r="F49" s="80"/>
      <c r="G49" s="80"/>
      <c r="H49" s="80"/>
      <c r="I49" s="112"/>
      <c r="J49" s="54"/>
      <c r="K49" s="29"/>
      <c r="L49" s="29"/>
      <c r="M49" s="29"/>
      <c r="N49" s="29"/>
      <c r="O49" s="55"/>
    </row>
    <row r="50" spans="1:15" x14ac:dyDescent="0.25">
      <c r="A50" s="52" t="s">
        <v>28</v>
      </c>
      <c r="B50" s="53" t="s">
        <v>31</v>
      </c>
      <c r="C50" s="57"/>
      <c r="F50" s="98"/>
      <c r="G50" s="98"/>
      <c r="H50" s="98"/>
      <c r="I50" s="98"/>
      <c r="J50" s="98"/>
      <c r="L50" s="80"/>
    </row>
    <row r="51" spans="1:15" x14ac:dyDescent="0.25">
      <c r="A51" s="52"/>
      <c r="B51" s="133" t="s">
        <v>73</v>
      </c>
      <c r="C51" s="57"/>
      <c r="E51" s="3"/>
      <c r="F51" s="3"/>
      <c r="G51" s="3"/>
      <c r="H51" s="3"/>
      <c r="I51" s="3"/>
      <c r="J51" s="3"/>
      <c r="K51" s="3"/>
      <c r="L51" s="3"/>
    </row>
    <row r="52" spans="1:15" x14ac:dyDescent="0.25">
      <c r="B52" s="133" t="s">
        <v>101</v>
      </c>
      <c r="C52" s="1"/>
      <c r="D52" s="1"/>
    </row>
    <row r="53" spans="1:15" x14ac:dyDescent="0.25">
      <c r="A53" s="185" t="s">
        <v>69</v>
      </c>
      <c r="B53" s="185"/>
      <c r="C53" s="185"/>
      <c r="D53" s="185"/>
      <c r="E53" s="185"/>
      <c r="F53" s="185"/>
    </row>
    <row r="54" spans="1:15" x14ac:dyDescent="0.25">
      <c r="A54" s="181"/>
      <c r="B54" s="181"/>
      <c r="C54" s="181"/>
      <c r="D54" s="181"/>
      <c r="E54" s="181"/>
      <c r="F54" s="181"/>
    </row>
    <row r="55" spans="1:15" x14ac:dyDescent="0.25">
      <c r="A55" s="181"/>
      <c r="B55" s="181"/>
      <c r="C55" s="181"/>
      <c r="D55" s="181"/>
      <c r="E55" s="181"/>
      <c r="F55" s="181"/>
    </row>
    <row r="56" spans="1:15" x14ac:dyDescent="0.25">
      <c r="A56" s="181"/>
      <c r="B56" s="181"/>
      <c r="C56" s="181"/>
      <c r="D56" s="181"/>
      <c r="E56" s="181"/>
      <c r="F56" s="181"/>
    </row>
    <row r="57" spans="1:15" x14ac:dyDescent="0.25">
      <c r="A57" s="181"/>
      <c r="B57" s="181"/>
      <c r="C57" s="181"/>
      <c r="D57" s="181"/>
      <c r="E57" s="181"/>
      <c r="F57" s="181"/>
    </row>
    <row r="58" spans="1:15" x14ac:dyDescent="0.25">
      <c r="A58" s="185" t="s">
        <v>76</v>
      </c>
      <c r="B58" s="185"/>
      <c r="C58" s="185"/>
      <c r="D58" s="185"/>
      <c r="E58" s="185"/>
      <c r="F58" s="185"/>
    </row>
    <row r="59" spans="1:15" x14ac:dyDescent="0.25">
      <c r="A59" s="181"/>
      <c r="B59" s="181"/>
      <c r="C59" s="181"/>
      <c r="D59" s="181"/>
      <c r="E59" s="181"/>
      <c r="F59" s="181"/>
    </row>
    <row r="60" spans="1:15" x14ac:dyDescent="0.25">
      <c r="A60" s="181"/>
      <c r="B60" s="181"/>
      <c r="C60" s="181"/>
      <c r="D60" s="181"/>
      <c r="E60" s="181"/>
      <c r="F60" s="181"/>
    </row>
    <row r="61" spans="1:15" x14ac:dyDescent="0.25">
      <c r="A61" s="181"/>
      <c r="B61" s="181"/>
      <c r="C61" s="181"/>
      <c r="D61" s="181"/>
      <c r="E61" s="181"/>
      <c r="F61" s="181"/>
    </row>
    <row r="62" spans="1:15" x14ac:dyDescent="0.25">
      <c r="A62" s="181"/>
      <c r="B62" s="181"/>
      <c r="C62" s="181"/>
      <c r="D62" s="181"/>
      <c r="E62" s="181"/>
      <c r="F62" s="181"/>
    </row>
  </sheetData>
  <customSheetViews>
    <customSheetView guid="{0A95727B-A9A6-44C2-A54C-9983FB78BBE9}">
      <selection activeCell="A3" sqref="A3"/>
      <pageMargins left="0.25" right="0.25" top="0.25" bottom="0" header="0.25" footer="0.25"/>
      <printOptions horizontalCentered="1"/>
      <pageSetup scale="65" orientation="landscape" r:id="rId1"/>
      <headerFooter alignWithMargins="0"/>
    </customSheetView>
    <customSheetView guid="{EC8DBB44-CD50-4F4D-AF3E-1635D8743D7B}" scale="90">
      <selection activeCell="H16" sqref="H16"/>
      <pageMargins left="0.25" right="0.25" top="0.25" bottom="0" header="0.25" footer="0.25"/>
      <printOptions horizontalCentered="1"/>
      <pageSetup scale="65" orientation="landscape" r:id="rId2"/>
      <headerFooter alignWithMargins="0"/>
    </customSheetView>
  </customSheetViews>
  <mergeCells count="25">
    <mergeCell ref="A60:F60"/>
    <mergeCell ref="A61:F61"/>
    <mergeCell ref="A62:F62"/>
    <mergeCell ref="L34:N43"/>
    <mergeCell ref="A53:F53"/>
    <mergeCell ref="A58:F58"/>
    <mergeCell ref="A54:F54"/>
    <mergeCell ref="A55:F55"/>
    <mergeCell ref="A56:F56"/>
    <mergeCell ref="A57:F57"/>
    <mergeCell ref="A47:F47"/>
    <mergeCell ref="C40:E40"/>
    <mergeCell ref="C15:E15"/>
    <mergeCell ref="C18:E18"/>
    <mergeCell ref="C19:E19"/>
    <mergeCell ref="C20:E20"/>
    <mergeCell ref="A59:F59"/>
    <mergeCell ref="C26:E26"/>
    <mergeCell ref="C22:E22"/>
    <mergeCell ref="C34:E34"/>
    <mergeCell ref="C35:E35"/>
    <mergeCell ref="C39:E39"/>
    <mergeCell ref="C23:E23"/>
    <mergeCell ref="C25:E25"/>
    <mergeCell ref="F34:H43"/>
  </mergeCells>
  <phoneticPr fontId="0" type="noConversion"/>
  <printOptions horizontalCentered="1"/>
  <pageMargins left="0.25" right="0.25" top="0.25" bottom="0" header="0.25" footer="0.25"/>
  <pageSetup scale="65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Summary</vt:lpstr>
      <vt:lpstr>SW005</vt:lpstr>
      <vt:lpstr>SE015</vt:lpstr>
      <vt:lpstr>SE020</vt:lpstr>
      <vt:lpstr>SE030</vt:lpstr>
      <vt:lpstr>SE035</vt:lpstr>
      <vt:lpstr>SW045</vt:lpstr>
      <vt:lpstr>NE055</vt:lpstr>
      <vt:lpstr>SE060</vt:lpstr>
      <vt:lpstr>LV070</vt:lpstr>
      <vt:lpstr>NE075</vt:lpstr>
      <vt:lpstr>SE080</vt:lpstr>
      <vt:lpstr>SE090</vt:lpstr>
      <vt:lpstr>SW095</vt:lpstr>
      <vt:lpstr>SA100</vt:lpstr>
      <vt:lpstr>SW110</vt:lpstr>
      <vt:lpstr>NC125</vt:lpstr>
      <vt:lpstr>NT130</vt:lpstr>
      <vt:lpstr>NE135</vt:lpstr>
      <vt:lpstr>NW145</vt:lpstr>
      <vt:lpstr>SW165</vt:lpstr>
      <vt:lpstr>NW170</vt:lpstr>
      <vt:lpstr>CE175</vt:lpstr>
      <vt:lpstr>SC180</vt:lpstr>
      <vt:lpstr>Summary!Print_Area</vt:lpstr>
    </vt:vector>
  </TitlesOfParts>
  <Company>Department of Labor &amp; Industry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80% Interim 12/06</dc:title>
  <dc:creator>mdeihl</dc:creator>
  <cp:lastModifiedBy>Windows User</cp:lastModifiedBy>
  <cp:lastPrinted>2017-08-08T18:43:41Z</cp:lastPrinted>
  <dcterms:created xsi:type="dcterms:W3CDTF">2002-01-08T20:03:46Z</dcterms:created>
  <dcterms:modified xsi:type="dcterms:W3CDTF">2017-08-08T19:28:09Z</dcterms:modified>
</cp:coreProperties>
</file>